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TabelaA" sheetId="1" r:id="rId1"/>
    <sheet name="TabelaB" sheetId="2" r:id="rId2"/>
    <sheet name="TabelaC" sheetId="3" r:id="rId3"/>
    <sheet name="TabelaD" sheetId="4" r:id="rId4"/>
    <sheet name="TabelaE" sheetId="5" r:id="rId5"/>
    <sheet name="TabelaF" sheetId="6" r:id="rId6"/>
    <sheet name="TabelaG" sheetId="7" r:id="rId7"/>
    <sheet name="TabelaH" sheetId="8" r:id="rId8"/>
  </sheets>
  <definedNames>
    <definedName name="_xlnm.Print_Area" localSheetId="0">'TabelaA'!$A$1:$F$15</definedName>
    <definedName name="_xlnm.Print_Area" localSheetId="1">'TabelaB'!$A$1:$F$18</definedName>
    <definedName name="_xlnm.Print_Area" localSheetId="2">'TabelaC'!$A$1:$D$23</definedName>
    <definedName name="_xlnm.Print_Area" localSheetId="3">'TabelaD'!$A$1:$G$51</definedName>
    <definedName name="_xlnm.Print_Area" localSheetId="4">'TabelaE'!$A$1:$H$18</definedName>
    <definedName name="_xlnm.Print_Area" localSheetId="5">'TabelaF'!$A$1:$E$26</definedName>
    <definedName name="_xlnm.Print_Area" localSheetId="6">'TabelaG'!$A$1:$F$25</definedName>
    <definedName name="_xlnm.Print_Area" localSheetId="7">'TabelaH'!$A$1:$F$14</definedName>
    <definedName name="Tekst1_1">'TabelaA'!$D$11</definedName>
    <definedName name="Tekst1_2">'TabelaB'!$D$10</definedName>
    <definedName name="Tekst100_4">'TabelaD'!$F$19</definedName>
    <definedName name="Tekst101_4">'TabelaD'!$F$20</definedName>
    <definedName name="Tekst102_4">'TabelaD'!$F$21</definedName>
    <definedName name="Tekst103_4">'TabelaD'!$F$23</definedName>
    <definedName name="Tekst104_4">'TabelaD'!$F$24</definedName>
    <definedName name="Tekst105_4">'TabelaD'!$F$25</definedName>
    <definedName name="Tekst106_4">'TabelaD'!$F$26</definedName>
    <definedName name="Tekst107_4">'TabelaD'!$F$27</definedName>
    <definedName name="Tekst108_4">'TabelaD'!$F$28</definedName>
    <definedName name="Tekst109_4">'TabelaD'!$G$12</definedName>
    <definedName name="Tekst110_4">'TabelaD'!$G$13</definedName>
    <definedName name="Tekst111_4">'TabelaD'!$G$14</definedName>
    <definedName name="Tekst112_4">'TabelaD'!$G$15</definedName>
    <definedName name="Tekst113_4">'TabelaD'!$G$16</definedName>
    <definedName name="Tekst114_4">'TabelaD'!$G$17</definedName>
    <definedName name="Tekst115_4">'TabelaD'!$G$18</definedName>
    <definedName name="Tekst116_4">'TabelaD'!$G$19</definedName>
    <definedName name="Tekst117_4">'TabelaD'!$G$20</definedName>
    <definedName name="Tekst118_4">'TabelaD'!$G$21</definedName>
    <definedName name="Tekst119_4">'TabelaD'!$G$23</definedName>
    <definedName name="Tekst120_4">'TabelaD'!$B$24</definedName>
    <definedName name="Tekst121_4">'TabelaD'!$G$25</definedName>
    <definedName name="Tekst122_4">'TabelaD'!$G$26</definedName>
    <definedName name="Tekst123_4">'TabelaD'!$G$27</definedName>
    <definedName name="Tekst124_4">'TabelaD'!$G$28</definedName>
    <definedName name="Tekst125_4">'TabelaD'!$C$28</definedName>
    <definedName name="Tekst126_4">'TabelaD'!$C$33</definedName>
    <definedName name="Tekst127_4">'TabelaD'!$C$34</definedName>
    <definedName name="Tekst128_4">'TabelaD'!$D$33</definedName>
    <definedName name="Tekst129_4">'TabelaD'!$D$34</definedName>
    <definedName name="Tekst130_4">'TabelaD'!$E$33</definedName>
    <definedName name="Tekst131_4">'TabelaD'!$E$34</definedName>
    <definedName name="Tekst132_4">'TabelaD'!$F$33</definedName>
    <definedName name="Tekst133_4">'TabelaD'!$F$34</definedName>
    <definedName name="Tekst134_4">'TabelaD'!$G$33</definedName>
    <definedName name="Tekst135_4">'TabelaD'!$G$34</definedName>
    <definedName name="Tekst136_4">'TabelaD'!$G$35</definedName>
    <definedName name="Tekst137_4">'TabelaD'!$F$35</definedName>
    <definedName name="Tekst138_4">'TabelaD'!$E$35</definedName>
    <definedName name="Tekst139_4">'TabelaD'!$D$35</definedName>
    <definedName name="Tekst140_4">'TabelaD'!$D$36</definedName>
    <definedName name="Tekst141_4">'TabelaD'!$D$37</definedName>
    <definedName name="Tekst142_4">'TabelaD'!$D$38</definedName>
    <definedName name="Tekst143_4">'TabelaD'!$D$39</definedName>
    <definedName name="Tekst144_4">'TabelaD'!$D$40</definedName>
    <definedName name="Tekst145_4">'TabelaD'!$D$41</definedName>
    <definedName name="Tekst146_4">'TabelaD'!$D$42</definedName>
    <definedName name="Tekst147_4">'TabelaD'!$D$43</definedName>
    <definedName name="Tekst148_4">'TabelaD'!$D$44</definedName>
    <definedName name="Tekst149_4">'TabelaD'!$D$46</definedName>
    <definedName name="Tekst150_4">'TabelaD'!$D$47</definedName>
    <definedName name="Tekst151_4">'TabelaD'!$D$48</definedName>
    <definedName name="Tekst152_4">'TabelaD'!$D$49</definedName>
    <definedName name="Tekst153_4">'TabelaD'!$D$50</definedName>
    <definedName name="Tekst154_4">'TabelaD'!$D$51</definedName>
    <definedName name="Tekst155_4">'TabelaD'!$C$51</definedName>
    <definedName name="Tekst156_4">'TabelaD'!$E$36</definedName>
    <definedName name="Tekst157_4">'TabelaD'!$E$37</definedName>
    <definedName name="Tekst158_4">'TabelaD'!$E$38</definedName>
    <definedName name="Tekst159_4">'TabelaD'!$E$39</definedName>
    <definedName name="Tekst160_4">'TabelaD'!$E$40</definedName>
    <definedName name="Tekst161_4">'TabelaD'!$E$41</definedName>
    <definedName name="Tekst162_4">'TabelaD'!$E$42</definedName>
    <definedName name="Tekst163_4">'TabelaD'!$E$43</definedName>
    <definedName name="Tekst164_4">'TabelaD'!$E$44</definedName>
    <definedName name="Tekst165_4">'TabelaD'!$E$46</definedName>
    <definedName name="Tekst166_4">'TabelaD'!$E$47</definedName>
    <definedName name="Tekst167_4">'TabelaD'!$E$48</definedName>
    <definedName name="Tekst168_4">'TabelaD'!$E$49</definedName>
    <definedName name="Tekst169_4">'TabelaD'!$E$50</definedName>
    <definedName name="Tekst170_4">'TabelaD'!$E$51</definedName>
    <definedName name="Tekst171_4">'TabelaD'!$F$36</definedName>
    <definedName name="Tekst172_4">'TabelaD'!$F$37</definedName>
    <definedName name="Tekst173_4">'TabelaD'!$F$38</definedName>
    <definedName name="Tekst174_4">'TabelaD'!$F$39</definedName>
    <definedName name="Tekst175_4">'TabelaD'!$F$40</definedName>
    <definedName name="Tekst176_4">'TabelaD'!$F$41</definedName>
    <definedName name="Tekst177_4">'TabelaD'!$C$43</definedName>
    <definedName name="Tekst178_4">'TabelaD'!$C$20</definedName>
    <definedName name="Tekst179_4">'TabelaD'!$F$42</definedName>
    <definedName name="Tekst180_4">'TabelaD'!$F$43</definedName>
    <definedName name="Tekst181_4">'TabelaD'!$F$44</definedName>
    <definedName name="Tekst182_4">'TabelaD'!$F$46</definedName>
    <definedName name="Tekst183_4">'TabelaD'!$F$47</definedName>
    <definedName name="Tekst184_4">'TabelaD'!$F$48</definedName>
    <definedName name="Tekst185_4">'TabelaD'!$B$49</definedName>
    <definedName name="Tekst186_4">'TabelaD'!$F$50</definedName>
    <definedName name="Tekst187_4">'TabelaD'!$F$51</definedName>
    <definedName name="Tekst188_4">'TabelaD'!$G$36</definedName>
    <definedName name="Tekst189_4">'TabelaD'!$G$37</definedName>
    <definedName name="Tekst19_3">'TabelaC'!$C$5</definedName>
    <definedName name="Tekst190_4">'TabelaD'!$G$38</definedName>
    <definedName name="Tekst191_4">'TabelaD'!$G$39</definedName>
    <definedName name="Tekst192_4">'TabelaD'!$G$40</definedName>
    <definedName name="Tekst193_4">'TabelaD'!$G$41</definedName>
    <definedName name="Tekst194_4">'TabelaD'!$G$42</definedName>
    <definedName name="Tekst195_4">'TabelaD'!$G$43</definedName>
    <definedName name="Tekst196_4">'TabelaD'!$G$44</definedName>
    <definedName name="Tekst197_4">'TabelaD'!$G$46</definedName>
    <definedName name="Tekst198_4">'TabelaD'!$G$47</definedName>
    <definedName name="Tekst199_4">'TabelaD'!$G$48</definedName>
    <definedName name="Tekst2_1">'TabelaA'!$E$11</definedName>
    <definedName name="Tekst2_2">'TabelaB'!$E$10</definedName>
    <definedName name="Tekst200_4">'TabelaD'!$G$49</definedName>
    <definedName name="Tekst201_4">'TabelaD'!$G$50</definedName>
    <definedName name="Tekst202_4">'TabelaD'!$G$51</definedName>
    <definedName name="Tekst203_2">'TabelaB'!#REF!</definedName>
    <definedName name="Tekst204_2">'TabelaB'!#REF!</definedName>
    <definedName name="Tekst205_2">'TabelaB'!#REF!</definedName>
    <definedName name="Tekst206_2">'TabelaB'!#REF!</definedName>
    <definedName name="Tekst207_2">'TabelaB'!#REF!</definedName>
    <definedName name="Tekst208_2">'TabelaB'!#REF!</definedName>
    <definedName name="Tekst209_2">'TabelaB'!#REF!</definedName>
    <definedName name="Tekst210_2">'TabelaB'!#REF!</definedName>
    <definedName name="Tekst211_2">'TabelaB'!#REF!</definedName>
    <definedName name="Tekst212_2">'TabelaB'!#REF!</definedName>
    <definedName name="Tekst213_2">'TabelaB'!#REF!</definedName>
    <definedName name="Tekst214_2">'TabelaB'!#REF!</definedName>
    <definedName name="Tekst215_2">'TabelaB'!#REF!</definedName>
    <definedName name="Tekst216_2">'TabelaB'!#REF!</definedName>
    <definedName name="Tekst217_2">'TabelaB'!#REF!</definedName>
    <definedName name="Tekst218_2">'TabelaB'!#REF!</definedName>
    <definedName name="Tekst219_2">'TabelaB'!#REF!</definedName>
    <definedName name="Tekst220_2">'TabelaB'!#REF!</definedName>
    <definedName name="Tekst221_2">'TabelaB'!#REF!</definedName>
    <definedName name="Tekst222_2">'TabelaB'!#REF!</definedName>
    <definedName name="Tekst223_2">'TabelaB'!#REF!</definedName>
    <definedName name="Tekst224_2">'TabelaB'!#REF!</definedName>
    <definedName name="Tekst225_2">'TabelaB'!#REF!</definedName>
    <definedName name="Tekst226_2">'TabelaB'!#REF!</definedName>
    <definedName name="Tekst227_2">'TabelaB'!#REF!</definedName>
    <definedName name="Tekst228_2">'TabelaB'!#REF!</definedName>
    <definedName name="Tekst229_2">'TabelaB'!#REF!</definedName>
    <definedName name="Tekst230_2">'TabelaB'!#REF!</definedName>
    <definedName name="Tekst231_2">'TabelaB'!#REF!</definedName>
    <definedName name="Tekst232_2">'TabelaB'!#REF!</definedName>
    <definedName name="Tekst233_2">'TabelaB'!#REF!</definedName>
    <definedName name="Tekst234_2">'TabelaB'!#REF!</definedName>
    <definedName name="Tekst235_2">'TabelaB'!#REF!</definedName>
    <definedName name="Tekst236_2">'TabelaB'!#REF!</definedName>
    <definedName name="Tekst237_2">'TabelaB'!#REF!</definedName>
    <definedName name="Tekst238_2">'TabelaB'!#REF!</definedName>
    <definedName name="Tekst245_1">'TabelaA'!#REF!</definedName>
    <definedName name="Tekst245_2">'TabelaB'!$D$11</definedName>
    <definedName name="Tekst246_1">'TabelaA'!#REF!</definedName>
    <definedName name="Tekst247_1">'TabelaA'!#REF!</definedName>
    <definedName name="Tekst248_1">'TabelaA'!#REF!</definedName>
    <definedName name="Tekst248_2">'TabelaB'!$E$11</definedName>
    <definedName name="Tekst249_1">'TabelaA'!#REF!</definedName>
    <definedName name="Tekst250_1">'TabelaA'!#REF!</definedName>
    <definedName name="Tekst251_1">'TabelaA'!#REF!</definedName>
    <definedName name="Tekst252_1">'TabelaA'!#REF!</definedName>
    <definedName name="Tekst253_1">'TabelaA'!#REF!</definedName>
    <definedName name="Tekst254_1">'TabelaA'!#REF!</definedName>
    <definedName name="Tekst255_1">'TabelaA'!#REF!</definedName>
    <definedName name="Tekst256_1">'TabelaA'!#REF!</definedName>
    <definedName name="Tekst257_1">'TabelaA'!#REF!</definedName>
    <definedName name="Tekst257_2">'TabelaB'!$E$14</definedName>
    <definedName name="Tekst258_1">'TabelaA'!#REF!</definedName>
    <definedName name="Tekst259_1">'TabelaA'!#REF!</definedName>
    <definedName name="Tekst260_1">'TabelaA'!#REF!</definedName>
    <definedName name="Tekst260_2">'TabelaB'!$D$14</definedName>
    <definedName name="Tekst261_1">'TabelaA'!#REF!</definedName>
    <definedName name="Tekst262_1">'TabelaA'!#REF!</definedName>
    <definedName name="Tekst263_1">'TabelaA'!#REF!</definedName>
    <definedName name="Tekst263_2">'TabelaB'!$D$16</definedName>
    <definedName name="Tekst264_1">'TabelaA'!#REF!</definedName>
    <definedName name="Tekst264_2">'TabelaB'!$D$17</definedName>
    <definedName name="Tekst265_1">'TabelaA'!#REF!</definedName>
    <definedName name="Tekst266_1">'TabelaA'!#REF!</definedName>
    <definedName name="Tekst266_2">'TabelaB'!$E$16</definedName>
    <definedName name="Tekst267_1">'TabelaA'!#REF!</definedName>
    <definedName name="Tekst267_2">'TabelaB'!$E$17</definedName>
    <definedName name="Tekst268_1">'TabelaA'!#REF!</definedName>
    <definedName name="Tekst269_1">'TabelaA'!#REF!</definedName>
    <definedName name="Tekst270_1">'TabelaA'!#REF!</definedName>
    <definedName name="Tekst271_1">'TabelaA'!#REF!</definedName>
    <definedName name="Tekst272_5">'TabelaE'!$E$4</definedName>
    <definedName name="Tekst273_5">'TabelaE'!$F$4</definedName>
    <definedName name="Tekst274_5">'TabelaE'!$G$4</definedName>
    <definedName name="Tekst275_5">'TabelaE'!$H$4</definedName>
    <definedName name="Tekst276_5">'TabelaE'!$H$7</definedName>
    <definedName name="Tekst277_5">'TabelaE'!$G$7</definedName>
    <definedName name="Tekst278_5">'TabelaE'!$F$7</definedName>
    <definedName name="Tekst279_5">'TabelaE'!$E$7</definedName>
    <definedName name="Tekst28_3">'TabelaC'!$D$9</definedName>
    <definedName name="Tekst280_5">'TabelaE'!$E$12</definedName>
    <definedName name="Tekst281_5">'TabelaE'!$F$12</definedName>
    <definedName name="Tekst282_5">'TabelaE'!$G$12</definedName>
    <definedName name="Tekst283_5">'TabelaE'!$H$12</definedName>
    <definedName name="Tekst284_5">'TabelaE'!$H$15</definedName>
    <definedName name="Tekst285_5">'TabelaE'!$G$15</definedName>
    <definedName name="Tekst286_5">'TabelaE'!$F$15</definedName>
    <definedName name="Tekst287_5">'TabelaE'!$E$15</definedName>
    <definedName name="Tekst288_6">'TabelaF'!$C$5</definedName>
    <definedName name="Tekst29_3">'TabelaC'!$C$10</definedName>
    <definedName name="Tekst290_6">'TabelaF'!$C$8</definedName>
    <definedName name="Tekst291_6">'TabelaF'!$D$5</definedName>
    <definedName name="Tekst292_6">'TabelaF'!#REF!</definedName>
    <definedName name="Tekst293_6">'TabelaF'!$D$8</definedName>
    <definedName name="Tekst294_6">'TabelaF'!#REF!</definedName>
    <definedName name="Tekst295_6">'TabelaF'!$C$11</definedName>
    <definedName name="Tekst296_6">'TabelaF'!$D$11</definedName>
    <definedName name="Tekst297_6">'TabelaF'!#REF!</definedName>
    <definedName name="Tekst298_6">'TabelaF'!$C$14</definedName>
    <definedName name="Tekst299_6">'TabelaF'!$D$14</definedName>
    <definedName name="Tekst3_1">'TabelaA'!$F$11</definedName>
    <definedName name="Tekst30_3">'TabelaC'!$D$10</definedName>
    <definedName name="Tekst300_6">'TabelaF'!#REF!</definedName>
    <definedName name="Tekst301_6">'TabelaF'!#REF!</definedName>
    <definedName name="Tekst302_6">'TabelaF'!$D$15</definedName>
    <definedName name="Tekst303_6">'TabelaF'!$C$15</definedName>
    <definedName name="Tekst304_6">'TabelaF'!$C$16</definedName>
    <definedName name="Tekst305_6">'TabelaF'!$D$16</definedName>
    <definedName name="Tekst306_6">'TabelaF'!#REF!</definedName>
    <definedName name="Tekst307_6">'TabelaF'!#REF!</definedName>
    <definedName name="Tekst308_6">'TabelaF'!$D$17</definedName>
    <definedName name="Tekst309_6">'TabelaF'!$C$17</definedName>
    <definedName name="Tekst31_3">'TabelaC'!$C$11</definedName>
    <definedName name="Tekst310_6">'TabelaF'!$C$21</definedName>
    <definedName name="Tekst311_6">'TabelaF'!$C$23</definedName>
    <definedName name="Tekst312_6">'TabelaF'!$C$24</definedName>
    <definedName name="Tekst313_6">'TabelaF'!#REF!</definedName>
    <definedName name="Tekst314_6">'TabelaF'!$D$21</definedName>
    <definedName name="Tekst315_6">'TabelaF'!$D$23</definedName>
    <definedName name="Tekst316_6">'TabelaF'!$D$24</definedName>
    <definedName name="Tekst317_6">'TabelaF'!#REF!</definedName>
    <definedName name="Tekst318_6">'TabelaF'!#REF!</definedName>
    <definedName name="Tekst319_6">'TabelaF'!#REF!</definedName>
    <definedName name="Tekst32_3">'TabelaC'!$D$11</definedName>
    <definedName name="Tekst320_6">'TabelaF'!#REF!</definedName>
    <definedName name="Tekst321_6">'TabelaF'!#REF!</definedName>
    <definedName name="Tekst322_7">'TabelaG'!$C$5</definedName>
    <definedName name="Tekst323_7">'TabelaG'!$D$5</definedName>
    <definedName name="Tekst324_7">'TabelaG'!$E$5</definedName>
    <definedName name="Tekst325_7">'TabelaG'!$F$5</definedName>
    <definedName name="Tekst326_7">'TabelaG'!$F$6</definedName>
    <definedName name="Tekst327_7">'TabelaG'!$E$6</definedName>
    <definedName name="Tekst328_7">'TabelaG'!$D$6</definedName>
    <definedName name="Tekst329_7">'TabelaG'!$C$6</definedName>
    <definedName name="Tekst33_3">'TabelaC'!$C$12</definedName>
    <definedName name="Tekst330_7">'TabelaG'!$C$7</definedName>
    <definedName name="Tekst331_7">'TabelaG'!$D$7</definedName>
    <definedName name="Tekst332_7">'TabelaG'!$F$7</definedName>
    <definedName name="Tekst333_7">'TabelaG'!$E$7</definedName>
    <definedName name="Tekst334_7">'TabelaG'!$F$8</definedName>
    <definedName name="Tekst335_7">'TabelaG'!$E$8</definedName>
    <definedName name="Tekst336_7">'TabelaG'!$D$8</definedName>
    <definedName name="Tekst337_7">'TabelaG'!$C$8</definedName>
    <definedName name="Tekst338_7">'TabelaG'!$C$10</definedName>
    <definedName name="Tekst339_7">'TabelaG'!$D$10</definedName>
    <definedName name="Tekst34_3">'TabelaC'!$D$12</definedName>
    <definedName name="Tekst340_7">'TabelaG'!$E$10</definedName>
    <definedName name="Tekst341_7">'TabelaG'!$F$10</definedName>
    <definedName name="Tekst342_7">'TabelaG'!$F$12</definedName>
    <definedName name="Tekst343_7">'TabelaG'!$E$12</definedName>
    <definedName name="Tekst344_7">'TabelaG'!$D$12</definedName>
    <definedName name="Tekst345_7">'TabelaG'!$C$12</definedName>
    <definedName name="Tekst346_7">'TabelaG'!$C$15</definedName>
    <definedName name="Tekst347_7">'TabelaG'!$D$15</definedName>
    <definedName name="Tekst348_7">'TabelaG'!$D$17</definedName>
    <definedName name="Tekst349_7">'TabelaG'!$C$17</definedName>
    <definedName name="Tekst35_3">'TabelaC'!$C$14</definedName>
    <definedName name="Tekst350_7">'TabelaG'!$C$19</definedName>
    <definedName name="Tekst351_7">'TabelaG'!$D$19</definedName>
    <definedName name="Tekst352_7">'TabelaG'!$D$20</definedName>
    <definedName name="Tekst353_7">'TabelaG'!$C$20</definedName>
    <definedName name="Tekst354_7">'TabelaG'!$C$23</definedName>
    <definedName name="Tekst355_7">'TabelaG'!$D$23</definedName>
    <definedName name="Tekst356_7">'TabelaG'!$D$25</definedName>
    <definedName name="Tekst357_7">'TabelaG'!$C$25</definedName>
    <definedName name="Tekst358_7">'TabelaG'!$E$15</definedName>
    <definedName name="Tekst359_7">'TabelaG'!$F$15</definedName>
    <definedName name="Tekst36_3">'TabelaC'!$D$14</definedName>
    <definedName name="Tekst360_7">'TabelaG'!$E$17</definedName>
    <definedName name="Tekst361_7">'TabelaG'!$F$17</definedName>
    <definedName name="Tekst362_7">'TabelaG'!$F$19</definedName>
    <definedName name="Tekst363_7">'TabelaG'!$E$19</definedName>
    <definedName name="Tekst364_7">'TabelaG'!$E$20</definedName>
    <definedName name="Tekst365_7">'TabelaG'!$F$20</definedName>
    <definedName name="Tekst366_7">'TabelaG'!$E$23</definedName>
    <definedName name="Tekst367_7">'TabelaG'!$F$23</definedName>
    <definedName name="Tekst368_7">'TabelaG'!$E$25</definedName>
    <definedName name="Tekst369_7">'TabelaG'!$F$25</definedName>
    <definedName name="Tekst37_3">'TabelaC'!$C$15</definedName>
    <definedName name="Tekst370_8">'TabelaH'!$C$5</definedName>
    <definedName name="Tekst371_8">'TabelaH'!$C$6</definedName>
    <definedName name="Tekst372_8">'TabelaH'!$C$7</definedName>
    <definedName name="Tekst373_8">'TabelaH'!$C$8</definedName>
    <definedName name="Tekst374_8">'TabelaH'!$D$5</definedName>
    <definedName name="Tekst375_8">'TabelaH'!$D$6</definedName>
    <definedName name="Tekst376_8">'TabelaH'!$D$7</definedName>
    <definedName name="Tekst377_8">'TabelaH'!$D$8</definedName>
    <definedName name="Tekst378_8">'TabelaH'!#REF!</definedName>
    <definedName name="Tekst379_8">'TabelaH'!#REF!</definedName>
    <definedName name="Tekst38_3">'TabelaC'!$D$15</definedName>
    <definedName name="Tekst380_8">'TabelaH'!#REF!</definedName>
    <definedName name="Tekst381_8">'TabelaH'!#REF!</definedName>
    <definedName name="Tekst382_8">'TabelaH'!$F$5</definedName>
    <definedName name="Tekst383_8">'TabelaH'!$F$6</definedName>
    <definedName name="Tekst384_8">'TabelaH'!$F$7</definedName>
    <definedName name="Tekst385_8">'TabelaH'!$F$8</definedName>
    <definedName name="Tekst386_8">'TabelaH'!$F$11</definedName>
    <definedName name="Tekst387_8">'TabelaH'!#REF!</definedName>
    <definedName name="Tekst388_8">'TabelaH'!$D$11</definedName>
    <definedName name="Tekst389_8">'TabelaH'!$C$11</definedName>
    <definedName name="Tekst39_3">'TabelaC'!$C$16</definedName>
    <definedName name="Tekst390_8">'TabelaH'!$C$12</definedName>
    <definedName name="Tekst391_8">'TabelaH'!$D$12</definedName>
    <definedName name="Tekst392_8">'TabelaH'!#REF!</definedName>
    <definedName name="Tekst393_8">'TabelaH'!$F$12</definedName>
    <definedName name="Tekst394_8">'TabelaH'!$F$13</definedName>
    <definedName name="Tekst395_8">'TabelaH'!#REF!</definedName>
    <definedName name="Tekst396_8">'TabelaH'!$C$13</definedName>
    <definedName name="Tekst397_8">'TabelaH'!$D$13</definedName>
    <definedName name="Tekst398_8">'TabelaH'!$C$14</definedName>
    <definedName name="Tekst399_8">'TabelaH'!$D$14</definedName>
    <definedName name="Tekst4_1">'TabelaA'!$D$14</definedName>
    <definedName name="Tekst4_2">'TabelaB'!$D$13</definedName>
    <definedName name="Tekst40_3">'TabelaC'!$D$16</definedName>
    <definedName name="Tekst400_8">'TabelaH'!#REF!</definedName>
    <definedName name="Tekst401_8">'TabelaH'!$F$14</definedName>
    <definedName name="Tekst41_3">'TabelaC'!$C$17</definedName>
    <definedName name="Tekst42_3">'TabelaC'!$D$17</definedName>
    <definedName name="Tekst43_3">'TabelaC'!$C$18</definedName>
    <definedName name="Tekst44_3">'TabelaC'!$D$18</definedName>
    <definedName name="Tekst45_3">'TabelaC'!$C$19</definedName>
    <definedName name="Tekst46_3">'TabelaC'!$D$19</definedName>
    <definedName name="Tekst47_3">'TabelaC'!$C$20</definedName>
    <definedName name="Tekst48_3">'TabelaC'!$D$20</definedName>
    <definedName name="Tekst49_3">'TabelaC'!$C$21</definedName>
    <definedName name="Tekst5_1">'TabelaA'!$E$14</definedName>
    <definedName name="Tekst5_2">'TabelaB'!$E$13</definedName>
    <definedName name="Tekst50_3">'TabelaC'!$D$21</definedName>
    <definedName name="Tekst51_4">'TabelaD'!$C$10</definedName>
    <definedName name="Tekst52_4">'TabelaD'!$C$11</definedName>
    <definedName name="Tekst53_4">'TabelaD'!$D$10</definedName>
    <definedName name="Tekst54_4">'TabelaD'!$D$11</definedName>
    <definedName name="Tekst55_4">'TabelaD'!$E$10</definedName>
    <definedName name="Tekst56_4">'TabelaD'!$E$11</definedName>
    <definedName name="Tekst57_4">'TabelaD'!$F$10</definedName>
    <definedName name="Tekst58_4">'TabelaD'!$F$11</definedName>
    <definedName name="Tekst59_4">'TabelaD'!$G$10</definedName>
    <definedName name="Tekst6_1">'TabelaA'!$F$14</definedName>
    <definedName name="Tekst60_4">'TabelaD'!$G$11</definedName>
    <definedName name="Tekst61_4">'TabelaD'!$D$12</definedName>
    <definedName name="Tekst62_4">'TabelaD'!$D$13</definedName>
    <definedName name="Tekst63_4">'TabelaD'!$D$14</definedName>
    <definedName name="Tekst64_4">'TabelaD'!$D$15</definedName>
    <definedName name="Tekst65_4">'TabelaD'!$D$16</definedName>
    <definedName name="Tekst66_4">'TabelaD'!$D$17</definedName>
    <definedName name="Tekst67_4">'TabelaD'!$D$18</definedName>
    <definedName name="Tekst68_4">'TabelaD'!$D$19</definedName>
    <definedName name="Tekst69_4">'TabelaD'!$D$20</definedName>
    <definedName name="Tekst7_1">'TabelaA'!#REF!</definedName>
    <definedName name="Tekst70_4">'TabelaD'!$D$21</definedName>
    <definedName name="Tekst71_4">'TabelaD'!$D$23</definedName>
    <definedName name="Tekst72_4">'TabelaD'!$D$24</definedName>
    <definedName name="Tekst73_4">'TabelaD'!$D$25</definedName>
    <definedName name="Tekst74_4">'TabelaD'!$D$26</definedName>
    <definedName name="Tekst75_4">'TabelaD'!$D$27</definedName>
    <definedName name="Tekst76_4">'TabelaD'!$D$28</definedName>
    <definedName name="Tekst77_4">'TabelaD'!$E$12</definedName>
    <definedName name="Tekst78_4">'TabelaD'!$E$13</definedName>
    <definedName name="Tekst79_4">'TabelaD'!$E$14</definedName>
    <definedName name="Tekst8_1">'TabelaA'!#REF!</definedName>
    <definedName name="Tekst80_4">'TabelaD'!$E$15</definedName>
    <definedName name="Tekst81_4">'TabelaD'!$E$16</definedName>
    <definedName name="Tekst82_4">'TabelaD'!$E$17</definedName>
    <definedName name="Tekst83_4">'TabelaD'!$E$18</definedName>
    <definedName name="Tekst84_4">'TabelaD'!$E$19</definedName>
    <definedName name="Tekst85_4">'TabelaD'!$E$20</definedName>
    <definedName name="Tekst86_4">'TabelaD'!$E$21</definedName>
    <definedName name="Tekst87_4">'TabelaD'!$E$23</definedName>
    <definedName name="Tekst88_4">'TabelaD'!$E$24</definedName>
    <definedName name="Tekst89_4">'TabelaD'!$E$25</definedName>
    <definedName name="Tekst9_1">'TabelaA'!#REF!</definedName>
    <definedName name="Tekst90_4">'TabelaD'!$E$26</definedName>
    <definedName name="Tekst91_4">'TabelaD'!$E$27</definedName>
    <definedName name="Tekst92_4">'TabelaD'!$E$28</definedName>
    <definedName name="Tekst93_4">'TabelaD'!$F$12</definedName>
    <definedName name="Tekst94_4">'TabelaD'!$F$13</definedName>
    <definedName name="Tekst95_4">'TabelaD'!$F$14</definedName>
    <definedName name="Tekst96_4">'TabelaD'!$B$15</definedName>
    <definedName name="Tekst97_4">'TabelaD'!$F$17</definedName>
    <definedName name="Tekst98_4">'TabelaD'!$F$16</definedName>
    <definedName name="Tekst99_4">'TabelaD'!$F$18</definedName>
  </definedNames>
  <calcPr fullCalcOnLoad="1"/>
</workbook>
</file>

<file path=xl/sharedStrings.xml><?xml version="1.0" encoding="utf-8"?>
<sst xmlns="http://schemas.openxmlformats.org/spreadsheetml/2006/main" count="275" uniqueCount="132">
  <si>
    <t>Lp.</t>
  </si>
  <si>
    <t>Wyszczególnienie</t>
  </si>
  <si>
    <t>Taryfa obowiązująca</t>
  </si>
  <si>
    <t>Taryfa nowa</t>
  </si>
  <si>
    <t>Zmiana %</t>
  </si>
  <si>
    <t>taryfowa grupa odbiorców</t>
  </si>
  <si>
    <t>rodzaj cen i stawek opłat</t>
  </si>
  <si>
    <t>4/3</t>
  </si>
  <si>
    <t>wielkość cen i stawek opłat</t>
  </si>
  <si>
    <t>Grupa 1</t>
  </si>
  <si>
    <r>
      <t>- cena wody (zł/m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</si>
  <si>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- cena wskaźnikowa</t>
    </r>
    <r>
      <rPr>
        <vertAlign val="superscript"/>
        <sz val="10"/>
        <rFont val="Arial"/>
        <family val="2"/>
      </rPr>
      <t>1)</t>
    </r>
  </si>
  <si>
    <t>Grupa 2</t>
  </si>
  <si>
    <r>
      <t>- cena wody (zł/m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</si>
  <si>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Grupa 3</t>
  </si>
  <si>
    <r>
      <t>- cena usługi odprowadzania ścieków (zł/m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</si>
  <si>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Przemysł spożywczy</t>
  </si>
  <si>
    <t>Przychody - wykonanie</t>
  </si>
  <si>
    <t>Niezbędne przychody</t>
  </si>
  <si>
    <t>rok obrachunkowy poprzedzający wprowadzenie nowych taryf w zł</t>
  </si>
  <si>
    <t>rok obowiązywania nowych taryf w zł</t>
  </si>
  <si>
    <t>Zaopatrzenie w wodę</t>
  </si>
  <si>
    <t>1) koszty eksploatacji i utrzymania, w tym:</t>
  </si>
  <si>
    <t>a) amortyzacja lub odpisy umorzeniowe</t>
  </si>
  <si>
    <t>b) koszty zakupionej przez siebie wody</t>
  </si>
  <si>
    <t>2) raty kapitałowe ponad wartość amortyzacji</t>
  </si>
  <si>
    <t>3) odsetki</t>
  </si>
  <si>
    <t>4) należności nieregularne</t>
  </si>
  <si>
    <t>5) marża zysku</t>
  </si>
  <si>
    <t>6) wartość niezbędnych przychodów</t>
  </si>
  <si>
    <t>Odprowadzanie ścieków</t>
  </si>
  <si>
    <t>b) koszty odprowadzania ścieków do urządzeń nie będących w posiadaniu przedsiębiorstwa</t>
  </si>
  <si>
    <t>Średnia zmiana wartości przychodów - zaopatrzenie w wodę w %</t>
  </si>
  <si>
    <t>X</t>
  </si>
  <si>
    <t>Średnia zmiana wartości przychodów - odprowadzanie ścieków w %</t>
  </si>
  <si>
    <t>Współczyn-</t>
  </si>
  <si>
    <t>Taryfowa grupa odbiorców usług</t>
  </si>
  <si>
    <t>nik alokacji</t>
  </si>
  <si>
    <t>wg</t>
  </si>
  <si>
    <t>tabeli E</t>
  </si>
  <si>
    <t>grupa 1</t>
  </si>
  <si>
    <t>grupa 2</t>
  </si>
  <si>
    <t>grupa 3</t>
  </si>
  <si>
    <t>ogółem</t>
  </si>
  <si>
    <t>Gospodarstwa</t>
  </si>
  <si>
    <t>Przemysł</t>
  </si>
  <si>
    <t>zł</t>
  </si>
  <si>
    <t>a) koszty bezpośrednie:</t>
  </si>
  <si>
    <t>- amortyzacja lub odpisy umorzeniowe</t>
  </si>
  <si>
    <t>A</t>
  </si>
  <si>
    <t>- wynagrodzenie z narzutami</t>
  </si>
  <si>
    <t>- materiały</t>
  </si>
  <si>
    <t>- energia</t>
  </si>
  <si>
    <t>- opłata za korzystanie ze środowiska</t>
  </si>
  <si>
    <t>B</t>
  </si>
  <si>
    <t>- podatki i opłaty - inne</t>
  </si>
  <si>
    <t>- usługi obce</t>
  </si>
  <si>
    <t>- pozostałe koszty</t>
  </si>
  <si>
    <t>b) alok.: koszty pośrednie</t>
  </si>
  <si>
    <t>- rozliczenie kosztów wydziałowych</t>
  </si>
  <si>
    <t>i działalności pomocniczej</t>
  </si>
  <si>
    <t>- alokowane koszty ogólne</t>
  </si>
  <si>
    <t>6) razem wartość niezbędnych przychodów</t>
  </si>
  <si>
    <t>spożywczy</t>
  </si>
  <si>
    <t>C</t>
  </si>
  <si>
    <t>D</t>
  </si>
  <si>
    <t>Współ</t>
  </si>
  <si>
    <t>Jedn. miary</t>
  </si>
  <si>
    <t>czynnik alokacji</t>
  </si>
  <si>
    <t>Sprzedaż roczna wody</t>
  </si>
  <si>
    <r>
      <t>m</t>
    </r>
    <r>
      <rPr>
        <vertAlign val="superscript"/>
        <sz val="10"/>
        <rFont val="Arial"/>
        <family val="2"/>
      </rPr>
      <t>3</t>
    </r>
  </si>
  <si>
    <t>%</t>
  </si>
  <si>
    <t>Przewidywane roczne opłaty</t>
  </si>
  <si>
    <t>za korzystanie ze środowiska</t>
  </si>
  <si>
    <t>- usługi zaopatrzenia w wodę</t>
  </si>
  <si>
    <t>grupa 2 Przemysł spożywczy</t>
  </si>
  <si>
    <t>Ilość roczna dostarczanych</t>
  </si>
  <si>
    <t>ścieków</t>
  </si>
  <si>
    <t>- usługi  odprowadzania ścieków</t>
  </si>
  <si>
    <t>1) wartość niezbędnych przychodów</t>
  </si>
  <si>
    <t>w zł/rok</t>
  </si>
  <si>
    <t>w tym:</t>
  </si>
  <si>
    <t>a) wartość niezbędnych przychodów</t>
  </si>
  <si>
    <t>rozliczanych za ilość dostarczonej</t>
  </si>
  <si>
    <t>wody</t>
  </si>
  <si>
    <t>b) wartość niezbędnych przychodów</t>
  </si>
  <si>
    <t>rozliczanych stawką opłaty abona-</t>
  </si>
  <si>
    <t>mentowej</t>
  </si>
  <si>
    <r>
      <t>2) zużycie wody w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/rok</t>
    </r>
  </si>
  <si>
    <t>3) liczba odbiorców</t>
  </si>
  <si>
    <r>
      <t>4) cena 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wody w zł/m</t>
    </r>
    <r>
      <rPr>
        <vertAlign val="superscript"/>
        <sz val="10"/>
        <rFont val="Arial"/>
        <family val="2"/>
      </rPr>
      <t>3 2)</t>
    </r>
  </si>
  <si>
    <t>5) stawka opłaty abonamentowej na od-</t>
  </si>
  <si>
    <r>
      <t xml:space="preserve">biorcę w zł/m-c </t>
    </r>
    <r>
      <rPr>
        <vertAlign val="superscript"/>
        <sz val="10"/>
        <rFont val="Arial"/>
        <family val="2"/>
      </rPr>
      <t>3)</t>
    </r>
  </si>
  <si>
    <t>grupa 2 przemysł spożywcczy</t>
  </si>
  <si>
    <r>
      <t>2) odprowadzone ścieki w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/rok</t>
    </r>
  </si>
  <si>
    <t>3) cena usługi odprowadzania ścieków</t>
  </si>
  <si>
    <r>
      <t>w zł/m</t>
    </r>
    <r>
      <rPr>
        <vertAlign val="superscript"/>
        <sz val="10"/>
        <rFont val="Arial"/>
        <family val="2"/>
      </rPr>
      <t>3 4)</t>
    </r>
  </si>
  <si>
    <r>
      <t>1) zużycie wody w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/rok</t>
    </r>
  </si>
  <si>
    <r>
      <t>2) cena za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wody w zł/m</t>
    </r>
    <r>
      <rPr>
        <vertAlign val="superscript"/>
        <sz val="10"/>
        <rFont val="Arial"/>
        <family val="2"/>
      </rPr>
      <t>3</t>
    </r>
  </si>
  <si>
    <t>3) stawka opłaty abonamentowej</t>
  </si>
  <si>
    <t>4) przychody wg należności za ilości</t>
  </si>
  <si>
    <t>dostarczonej wody (cena) w zł/rok</t>
  </si>
  <si>
    <t>5) przychody wg należności za stawki</t>
  </si>
  <si>
    <t>opłat abonamentowych w zł/rok</t>
  </si>
  <si>
    <t>Wartość przychodów w zł/rok</t>
  </si>
  <si>
    <t>1) ilość ścieków odprowadzonych</t>
  </si>
  <si>
    <r>
      <t>rocznie w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/rok</t>
    </r>
  </si>
  <si>
    <t>2) cena usługi odprowadzenia ście-</t>
  </si>
  <si>
    <r>
      <t>ków w zł/m</t>
    </r>
    <r>
      <rPr>
        <vertAlign val="superscript"/>
        <sz val="10"/>
        <rFont val="Arial"/>
        <family val="2"/>
      </rPr>
      <t>3</t>
    </r>
  </si>
  <si>
    <t>4) przychody wg należności za ilość</t>
  </si>
  <si>
    <t>odprowadzonych ścieków (cena)</t>
  </si>
  <si>
    <t>Wartość przychodów</t>
  </si>
  <si>
    <t>1) w roku obowiązywania nowych taryf</t>
  </si>
  <si>
    <t>2) w roku obrachunkowym poprzedzającym wprowadzenie nowych taryf (pro forma)</t>
  </si>
  <si>
    <r>
      <t>Wzrost przychodów</t>
    </r>
    <r>
      <rPr>
        <vertAlign val="superscript"/>
        <sz val="10"/>
        <rFont val="Arial"/>
        <family val="2"/>
      </rPr>
      <t>1)</t>
    </r>
  </si>
  <si>
    <r>
      <t>Wzrost przychodów</t>
    </r>
    <r>
      <rPr>
        <vertAlign val="superscript"/>
        <sz val="10"/>
        <rFont val="Arial"/>
        <family val="2"/>
      </rPr>
      <t>2)</t>
    </r>
  </si>
  <si>
    <t>domowe</t>
  </si>
  <si>
    <t>Przemysł spożywczy+produkcyjny+usługi</t>
  </si>
  <si>
    <t>Gospodarstwa domowe ścieki bytowe</t>
  </si>
  <si>
    <t>Odbiorcy pozostali</t>
  </si>
  <si>
    <t>Gospodarstwa domowe cele socjalno-bytowe</t>
  </si>
  <si>
    <t>produkcja usługi</t>
  </si>
  <si>
    <t>domowe ścieki bytowe</t>
  </si>
  <si>
    <t>Odbiorcy</t>
  </si>
  <si>
    <t>pozostali</t>
  </si>
  <si>
    <t>grupa 1 Gospodarstwa domowe</t>
  </si>
  <si>
    <t>grupa 2 Przemysł spożywczy produkcyjny usługi</t>
  </si>
  <si>
    <t>grupa 1 Gospodarstwa domowe ścieki bytowe</t>
  </si>
  <si>
    <t>grupa 3 Odbiorcy pozostali</t>
  </si>
  <si>
    <t>grupa 2 Przemysł spożywczy  produkcja usługi</t>
  </si>
  <si>
    <t>grupa 2 Przemysł spożywcczy</t>
  </si>
  <si>
    <t>grupa 2 przemysł spożywczy produkcyjny  usługi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</si>
</sst>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"/>
    <numFmt numFmtId="165" formatCode="#,##0.00&quot; zł&quot;"/>
    <numFmt numFmtId="166" formatCode="0.0%"/>
    <numFmt numFmtId="167" formatCode="_-* #,##0.00&quot; zł&quot;_-;\-* #,##0.00&quot; zł&quot;_-;_-* \-??&quot; zł&quot;_-;_-@_-"/>
    <numFmt numFmtId="168" formatCode="_-* #,##0.0&quot; zł&quot;_-;\-* #,##0.0&quot; zł&quot;_-;_-* \-??&quot; zł&quot;_-;_-@_-"/>
    <numFmt numFmtId="169" formatCode="#,##0\ _z_ł"/>
    <numFmt numFmtId="170" formatCode="#,##0.00\ _z_ł"/>
    <numFmt numFmtId="171" formatCode="0.0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 CE"/>
      <family val="2"/>
    </font>
    <font>
      <sz val="10"/>
      <color indexed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164" fontId="1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left" vertical="top" wrapText="1" indent="1"/>
    </xf>
    <xf numFmtId="165" fontId="0" fillId="0" borderId="10" xfId="0" applyNumberFormat="1" applyBorder="1" applyAlignment="1">
      <alignment vertical="top" wrapText="1"/>
    </xf>
    <xf numFmtId="166" fontId="0" fillId="0" borderId="10" xfId="52" applyNumberFormat="1" applyFont="1" applyFill="1" applyBorder="1" applyAlignment="1" applyProtection="1">
      <alignment vertical="top" wrapText="1"/>
      <protection/>
    </xf>
    <xf numFmtId="0" fontId="1" fillId="0" borderId="17" xfId="0" applyFont="1" applyBorder="1" applyAlignment="1">
      <alignment horizontal="left" vertical="top" wrapText="1" indent="1"/>
    </xf>
    <xf numFmtId="165" fontId="0" fillId="0" borderId="12" xfId="0" applyNumberFormat="1" applyBorder="1" applyAlignment="1">
      <alignment vertical="top" wrapText="1"/>
    </xf>
    <xf numFmtId="166" fontId="0" fillId="0" borderId="12" xfId="52" applyNumberFormat="1" applyFont="1" applyFill="1" applyBorder="1" applyAlignment="1" applyProtection="1">
      <alignment vertical="top" wrapText="1"/>
      <protection/>
    </xf>
    <xf numFmtId="0" fontId="1" fillId="0" borderId="18" xfId="0" applyFont="1" applyBorder="1" applyAlignment="1">
      <alignment horizontal="left" vertical="top" wrapText="1" indent="1"/>
    </xf>
    <xf numFmtId="166" fontId="0" fillId="0" borderId="13" xfId="52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1" fillId="0" borderId="19" xfId="0" applyFont="1" applyBorder="1" applyAlignment="1">
      <alignment horizontal="left" vertical="top" wrapText="1" indent="1"/>
    </xf>
    <xf numFmtId="0" fontId="1" fillId="0" borderId="20" xfId="0" applyFont="1" applyBorder="1" applyAlignment="1">
      <alignment horizontal="left" vertical="top" wrapText="1" indent="1"/>
    </xf>
    <xf numFmtId="167" fontId="0" fillId="0" borderId="0" xfId="58" applyFont="1" applyFill="1" applyBorder="1" applyAlignment="1" applyProtection="1">
      <alignment/>
      <protection/>
    </xf>
    <xf numFmtId="165" fontId="0" fillId="0" borderId="13" xfId="0" applyNumberFormat="1" applyBorder="1" applyAlignment="1">
      <alignment vertical="top" wrapText="1"/>
    </xf>
    <xf numFmtId="166" fontId="0" fillId="0" borderId="0" xfId="52" applyNumberFormat="1" applyFont="1" applyFill="1" applyBorder="1" applyAlignment="1" applyProtection="1">
      <alignment/>
      <protection/>
    </xf>
    <xf numFmtId="0" fontId="19" fillId="0" borderId="11" xfId="0" applyFont="1" applyBorder="1" applyAlignment="1">
      <alignment horizontal="center" wrapText="1"/>
    </xf>
    <xf numFmtId="0" fontId="19" fillId="20" borderId="11" xfId="0" applyFont="1" applyFill="1" applyBorder="1" applyAlignment="1">
      <alignment horizontal="center" wrapText="1"/>
    </xf>
    <xf numFmtId="0" fontId="19" fillId="20" borderId="11" xfId="0" applyFont="1" applyFill="1" applyBorder="1" applyAlignment="1">
      <alignment wrapText="1"/>
    </xf>
    <xf numFmtId="167" fontId="22" fillId="20" borderId="11" xfId="58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 horizontal="left" wrapText="1" indent="1"/>
    </xf>
    <xf numFmtId="167" fontId="0" fillId="0" borderId="11" xfId="58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 indent="1"/>
    </xf>
    <xf numFmtId="167" fontId="0" fillId="0" borderId="10" xfId="58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wrapText="1"/>
    </xf>
    <xf numFmtId="167" fontId="1" fillId="0" borderId="10" xfId="58" applyFont="1" applyFill="1" applyBorder="1" applyAlignment="1" applyProtection="1">
      <alignment horizontal="center" wrapText="1"/>
      <protection/>
    </xf>
    <xf numFmtId="166" fontId="1" fillId="0" borderId="10" xfId="52" applyNumberFormat="1" applyFont="1" applyFill="1" applyBorder="1" applyAlignment="1" applyProtection="1">
      <alignment horizontal="center" wrapText="1"/>
      <protection/>
    </xf>
    <xf numFmtId="0" fontId="1" fillId="0" borderId="11" xfId="0" applyFont="1" applyBorder="1" applyAlignment="1">
      <alignment wrapText="1"/>
    </xf>
    <xf numFmtId="167" fontId="1" fillId="0" borderId="11" xfId="58" applyFont="1" applyFill="1" applyBorder="1" applyAlignment="1" applyProtection="1">
      <alignment horizontal="center" wrapText="1"/>
      <protection/>
    </xf>
    <xf numFmtId="166" fontId="1" fillId="0" borderId="11" xfId="52" applyNumberFormat="1" applyFont="1" applyFill="1" applyBorder="1" applyAlignment="1" applyProtection="1">
      <alignment horizontal="center" wrapText="1"/>
      <protection/>
    </xf>
    <xf numFmtId="167" fontId="23" fillId="0" borderId="0" xfId="58" applyFont="1" applyFill="1" applyBorder="1" applyAlignment="1" applyProtection="1">
      <alignment/>
      <protection/>
    </xf>
    <xf numFmtId="0" fontId="22" fillId="0" borderId="0" xfId="0" applyFont="1" applyAlignment="1">
      <alignment horizontal="center"/>
    </xf>
    <xf numFmtId="10" fontId="0" fillId="0" borderId="0" xfId="52" applyNumberFormat="1" applyFont="1" applyFill="1" applyBorder="1" applyAlignment="1" applyProtection="1">
      <alignment/>
      <protection/>
    </xf>
    <xf numFmtId="167" fontId="23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20" borderId="11" xfId="0" applyFont="1" applyFill="1" applyBorder="1" applyAlignment="1">
      <alignment horizontal="center" vertical="top" wrapText="1"/>
    </xf>
    <xf numFmtId="0" fontId="19" fillId="20" borderId="11" xfId="0" applyFont="1" applyFill="1" applyBorder="1" applyAlignment="1">
      <alignment horizontal="left" vertical="top" wrapText="1" indent="2"/>
    </xf>
    <xf numFmtId="0" fontId="22" fillId="20" borderId="11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1" xfId="0" applyFont="1" applyBorder="1" applyAlignment="1">
      <alignment horizontal="left" vertical="top" wrapText="1" indent="2"/>
    </xf>
    <xf numFmtId="168" fontId="0" fillId="0" borderId="11" xfId="58" applyNumberFormat="1" applyFont="1" applyFill="1" applyBorder="1" applyAlignment="1" applyProtection="1">
      <alignment vertical="top" wrapText="1"/>
      <protection/>
    </xf>
    <xf numFmtId="0" fontId="1" fillId="0" borderId="11" xfId="0" applyFont="1" applyBorder="1" applyAlignment="1">
      <alignment horizontal="left" vertical="top" wrapText="1" indent="3"/>
    </xf>
    <xf numFmtId="168" fontId="22" fillId="0" borderId="11" xfId="58" applyNumberFormat="1" applyFont="1" applyFill="1" applyBorder="1" applyAlignment="1" applyProtection="1">
      <alignment vertical="top" wrapText="1"/>
      <protection/>
    </xf>
    <xf numFmtId="0" fontId="1" fillId="0" borderId="11" xfId="0" applyFont="1" applyBorder="1" applyAlignment="1">
      <alignment horizontal="left" vertical="top" wrapText="1" indent="4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4"/>
    </xf>
    <xf numFmtId="0" fontId="1" fillId="0" borderId="13" xfId="0" applyFont="1" applyBorder="1" applyAlignment="1">
      <alignment horizontal="left" vertical="top" wrapText="1" indent="4"/>
    </xf>
    <xf numFmtId="0" fontId="1" fillId="0" borderId="11" xfId="0" applyFont="1" applyBorder="1" applyAlignment="1">
      <alignment horizontal="left" wrapText="1" indent="4"/>
    </xf>
    <xf numFmtId="168" fontId="0" fillId="0" borderId="11" xfId="58" applyNumberFormat="1" applyFont="1" applyFill="1" applyBorder="1" applyAlignment="1" applyProtection="1">
      <alignment wrapText="1"/>
      <protection/>
    </xf>
    <xf numFmtId="0" fontId="19" fillId="0" borderId="11" xfId="0" applyFont="1" applyBorder="1" applyAlignment="1">
      <alignment horizontal="left" vertical="top" wrapText="1" indent="2"/>
    </xf>
    <xf numFmtId="0" fontId="22" fillId="0" borderId="11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0" applyFont="1" applyBorder="1" applyAlignment="1">
      <alignment horizontal="left" wrapText="1" indent="2"/>
    </xf>
    <xf numFmtId="0" fontId="19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69" fontId="0" fillId="0" borderId="10" xfId="0" applyNumberForma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166" fontId="0" fillId="0" borderId="13" xfId="52" applyNumberFormat="1" applyFont="1" applyFill="1" applyBorder="1" applyAlignment="1" applyProtection="1">
      <alignment wrapText="1"/>
      <protection/>
    </xf>
    <xf numFmtId="166" fontId="0" fillId="0" borderId="13" xfId="0" applyNumberForma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166" fontId="0" fillId="0" borderId="12" xfId="52" applyNumberFormat="1" applyFont="1" applyFill="1" applyBorder="1" applyAlignment="1" applyProtection="1">
      <alignment wrapText="1"/>
      <protection/>
    </xf>
    <xf numFmtId="0" fontId="1" fillId="20" borderId="11" xfId="0" applyFont="1" applyFill="1" applyBorder="1" applyAlignment="1">
      <alignment horizontal="center" wrapText="1"/>
    </xf>
    <xf numFmtId="0" fontId="1" fillId="20" borderId="11" xfId="0" applyFont="1" applyFill="1" applyBorder="1" applyAlignment="1">
      <alignment wrapText="1"/>
    </xf>
    <xf numFmtId="0" fontId="0" fillId="20" borderId="11" xfId="0" applyFill="1" applyBorder="1" applyAlignment="1">
      <alignment vertical="top" wrapText="1"/>
    </xf>
    <xf numFmtId="0" fontId="1" fillId="0" borderId="13" xfId="0" applyFont="1" applyBorder="1" applyAlignment="1">
      <alignment horizontal="left" wrapText="1" indent="1"/>
    </xf>
    <xf numFmtId="170" fontId="0" fillId="0" borderId="0" xfId="0" applyNumberFormat="1" applyAlignment="1">
      <alignment/>
    </xf>
    <xf numFmtId="170" fontId="0" fillId="0" borderId="11" xfId="0" applyNumberFormat="1" applyBorder="1" applyAlignment="1">
      <alignment wrapText="1"/>
    </xf>
    <xf numFmtId="0" fontId="1" fillId="0" borderId="12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171" fontId="0" fillId="0" borderId="11" xfId="0" applyNumberFormat="1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21" xfId="0" applyFont="1" applyBorder="1" applyAlignment="1">
      <alignment horizontal="left" wrapText="1" indent="1"/>
    </xf>
    <xf numFmtId="0" fontId="1" fillId="0" borderId="22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wrapText="1" indent="1"/>
    </xf>
    <xf numFmtId="0" fontId="0" fillId="20" borderId="11" xfId="0" applyFill="1" applyBorder="1" applyAlignment="1">
      <alignment wrapText="1"/>
    </xf>
    <xf numFmtId="3" fontId="0" fillId="0" borderId="10" xfId="0" applyNumberFormat="1" applyBorder="1" applyAlignment="1">
      <alignment wrapText="1"/>
    </xf>
    <xf numFmtId="166" fontId="0" fillId="0" borderId="10" xfId="52" applyNumberFormat="1" applyFont="1" applyFill="1" applyBorder="1" applyAlignment="1" applyProtection="1">
      <alignment wrapText="1"/>
      <protection/>
    </xf>
    <xf numFmtId="166" fontId="0" fillId="0" borderId="11" xfId="52" applyNumberFormat="1" applyFont="1" applyFill="1" applyBorder="1" applyAlignment="1" applyProtection="1">
      <alignment wrapText="1"/>
      <protection/>
    </xf>
    <xf numFmtId="3" fontId="0" fillId="0" borderId="0" xfId="0" applyNumberFormat="1" applyAlignment="1">
      <alignment/>
    </xf>
    <xf numFmtId="165" fontId="0" fillId="0" borderId="23" xfId="0" applyNumberFormat="1" applyBorder="1" applyAlignment="1">
      <alignment vertical="top" wrapText="1"/>
    </xf>
    <xf numFmtId="0" fontId="0" fillId="0" borderId="12" xfId="0" applyBorder="1" applyAlignment="1">
      <alignment horizontal="left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2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168" fontId="0" fillId="0" borderId="11" xfId="58" applyNumberFormat="1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69" fontId="1" fillId="0" borderId="10" xfId="0" applyNumberFormat="1" applyFont="1" applyBorder="1" applyAlignment="1">
      <alignment horizontal="right" vertical="center" wrapText="1"/>
    </xf>
    <xf numFmtId="166" fontId="0" fillId="0" borderId="13" xfId="52" applyNumberFormat="1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69" fontId="0" fillId="0" borderId="10" xfId="0" applyNumberForma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2" fontId="0" fillId="0" borderId="11" xfId="0" applyNumberFormat="1" applyBorder="1" applyAlignment="1">
      <alignment wrapText="1"/>
    </xf>
    <xf numFmtId="170" fontId="0" fillId="0" borderId="10" xfId="0" applyNumberFormat="1" applyBorder="1" applyAlignment="1">
      <alignment wrapText="1"/>
    </xf>
    <xf numFmtId="170" fontId="0" fillId="0" borderId="11" xfId="0" applyNumberFormat="1" applyBorder="1" applyAlignment="1">
      <alignment wrapText="1"/>
    </xf>
    <xf numFmtId="0" fontId="19" fillId="0" borderId="14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11" sqref="B11:B12"/>
    </sheetView>
  </sheetViews>
  <sheetFormatPr defaultColWidth="9.00390625" defaultRowHeight="12.75"/>
  <cols>
    <col min="1" max="1" width="3.875" style="0" customWidth="1"/>
    <col min="2" max="2" width="30.125" style="0" customWidth="1"/>
    <col min="3" max="3" width="32.25390625" style="0" customWidth="1"/>
    <col min="4" max="4" width="13.00390625" style="0" customWidth="1"/>
    <col min="5" max="5" width="10.75390625" style="0" customWidth="1"/>
    <col min="6" max="6" width="10.875" style="0" customWidth="1"/>
    <col min="8" max="8" width="19.875" style="0" customWidth="1"/>
    <col min="9" max="10" width="15.00390625" style="0" customWidth="1"/>
  </cols>
  <sheetData>
    <row r="1" spans="1:6" ht="17.25" customHeight="1">
      <c r="A1" s="1" t="s">
        <v>0</v>
      </c>
      <c r="B1" s="107" t="s">
        <v>1</v>
      </c>
      <c r="C1" s="107"/>
      <c r="D1" s="107" t="s">
        <v>2</v>
      </c>
      <c r="E1" s="107" t="s">
        <v>3</v>
      </c>
      <c r="F1" s="1" t="s">
        <v>4</v>
      </c>
    </row>
    <row r="2" spans="1:6" ht="6" customHeight="1">
      <c r="A2" s="3"/>
      <c r="B2" s="107"/>
      <c r="C2" s="107"/>
      <c r="D2" s="107"/>
      <c r="E2" s="107"/>
      <c r="F2" s="4"/>
    </row>
    <row r="3" spans="1:6" ht="6" customHeight="1">
      <c r="A3" s="3"/>
      <c r="B3" s="107"/>
      <c r="C3" s="107"/>
      <c r="D3" s="107"/>
      <c r="E3" s="107"/>
      <c r="F3" s="4"/>
    </row>
    <row r="4" spans="1:6" ht="12.75" customHeight="1">
      <c r="A4" s="3"/>
      <c r="B4" s="107" t="s">
        <v>5</v>
      </c>
      <c r="C4" s="107" t="s">
        <v>6</v>
      </c>
      <c r="D4" s="107"/>
      <c r="E4" s="107"/>
      <c r="F4" s="5" t="s">
        <v>7</v>
      </c>
    </row>
    <row r="5" spans="1:6" ht="9.75" customHeight="1">
      <c r="A5" s="3"/>
      <c r="B5" s="107"/>
      <c r="C5" s="107"/>
      <c r="D5" s="107"/>
      <c r="E5" s="107"/>
      <c r="F5" s="4"/>
    </row>
    <row r="6" spans="1:6" ht="12.75" customHeight="1" hidden="1">
      <c r="A6" s="3"/>
      <c r="B6" s="107"/>
      <c r="C6" s="107"/>
      <c r="D6" s="107"/>
      <c r="E6" s="107"/>
      <c r="F6" s="4"/>
    </row>
    <row r="7" spans="1:6" ht="12.75" customHeight="1" hidden="1">
      <c r="A7" s="3"/>
      <c r="B7" s="107"/>
      <c r="C7" s="107"/>
      <c r="D7" s="107"/>
      <c r="E7" s="107"/>
      <c r="F7" s="6"/>
    </row>
    <row r="8" spans="1:6" ht="12.75" customHeight="1">
      <c r="A8" s="7"/>
      <c r="B8" s="8"/>
      <c r="C8" s="8"/>
      <c r="D8" s="108" t="s">
        <v>8</v>
      </c>
      <c r="E8" s="108"/>
      <c r="F8" s="108"/>
    </row>
    <row r="9" spans="1:6" ht="12.75">
      <c r="A9" s="2">
        <v>0</v>
      </c>
      <c r="B9" s="1">
        <v>1</v>
      </c>
      <c r="C9" s="9">
        <v>2</v>
      </c>
      <c r="D9" s="2">
        <v>3</v>
      </c>
      <c r="E9" s="2">
        <v>4</v>
      </c>
      <c r="F9" s="2">
        <v>5</v>
      </c>
    </row>
    <row r="10" spans="1:2" ht="12.75">
      <c r="A10" s="10">
        <v>1</v>
      </c>
      <c r="B10" s="11" t="s">
        <v>9</v>
      </c>
    </row>
    <row r="11" spans="1:6" ht="12.75" customHeight="1">
      <c r="A11" s="104"/>
      <c r="B11" s="105" t="s">
        <v>120</v>
      </c>
      <c r="C11" s="12" t="s">
        <v>10</v>
      </c>
      <c r="D11" s="13">
        <v>2.15</v>
      </c>
      <c r="E11" s="13">
        <v>2.99</v>
      </c>
      <c r="F11" s="14">
        <f>Tekst2_1/Tekst1_1</f>
        <v>1.3906976744186048</v>
      </c>
    </row>
    <row r="12" spans="1:6" ht="14.25">
      <c r="A12" s="104"/>
      <c r="B12" s="109"/>
      <c r="C12" s="18" t="s">
        <v>11</v>
      </c>
      <c r="D12" s="100">
        <v>0</v>
      </c>
      <c r="E12" s="100">
        <v>0</v>
      </c>
      <c r="F12" s="19">
        <f>Tekst2_1/Tekst1_1</f>
        <v>1.3906976744186048</v>
      </c>
    </row>
    <row r="13" spans="1:7" ht="12.75">
      <c r="A13" s="10">
        <v>2</v>
      </c>
      <c r="B13" s="11" t="s">
        <v>12</v>
      </c>
      <c r="G13" s="20"/>
    </row>
    <row r="14" spans="1:6" ht="12.75" customHeight="1">
      <c r="A14" s="104"/>
      <c r="B14" s="105" t="s">
        <v>117</v>
      </c>
      <c r="C14" s="12" t="s">
        <v>13</v>
      </c>
      <c r="D14" s="13">
        <v>2.39</v>
      </c>
      <c r="E14" s="13">
        <v>3.69</v>
      </c>
      <c r="F14" s="14">
        <f>Tekst5_1/Tekst4_1</f>
        <v>1.5439330543933054</v>
      </c>
    </row>
    <row r="15" spans="1:6" ht="14.25">
      <c r="A15" s="104"/>
      <c r="B15" s="106"/>
      <c r="C15" s="22" t="s">
        <v>11</v>
      </c>
      <c r="D15" s="100">
        <v>0</v>
      </c>
      <c r="E15" s="100">
        <v>0</v>
      </c>
      <c r="F15" s="19">
        <f>Tekst5_1/Tekst4_1</f>
        <v>1.5439330543933054</v>
      </c>
    </row>
    <row r="16" spans="9:10" ht="12.75">
      <c r="I16" s="23"/>
      <c r="J16" s="23"/>
    </row>
    <row r="17" spans="9:10" ht="12.75">
      <c r="I17" s="23"/>
      <c r="J17" s="23"/>
    </row>
    <row r="18" spans="9:10" ht="12.75">
      <c r="I18" s="23"/>
      <c r="J18" s="23"/>
    </row>
    <row r="19" spans="9:10" ht="12.75">
      <c r="I19" s="23"/>
      <c r="J19" s="25"/>
    </row>
  </sheetData>
  <sheetProtection/>
  <mergeCells count="10">
    <mergeCell ref="E1:E7"/>
    <mergeCell ref="B4:B7"/>
    <mergeCell ref="C4:C7"/>
    <mergeCell ref="D8:F8"/>
    <mergeCell ref="A14:A15"/>
    <mergeCell ref="B14:B15"/>
    <mergeCell ref="B1:C3"/>
    <mergeCell ref="D1:D7"/>
    <mergeCell ref="A11:A12"/>
    <mergeCell ref="B11:B12"/>
  </mergeCells>
  <printOptions/>
  <pageMargins left="0.75" right="0.75" top="1" bottom="1" header="0.5" footer="0.5118055555555555"/>
  <pageSetup horizontalDpi="300" verticalDpi="300" orientation="landscape" paperSize="9" r:id="rId1"/>
  <headerFooter alignWithMargins="0">
    <oddHeader>&amp;CTabela A: Porównanie cen i stawek opłat taryfy obowiązującej w dniu złożenia wniosku z cenami i stawkami opłat nowej taryfy dotyczącej zaopatrzenia w wodę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3.625" style="0" customWidth="1"/>
    <col min="2" max="2" width="23.625" style="0" customWidth="1"/>
    <col min="3" max="3" width="31.875" style="0" customWidth="1"/>
    <col min="4" max="4" width="12.125" style="0" customWidth="1"/>
    <col min="5" max="5" width="6.625" style="0" customWidth="1"/>
  </cols>
  <sheetData>
    <row r="1" spans="1:6" ht="28.5" customHeight="1">
      <c r="A1" s="1" t="s">
        <v>0</v>
      </c>
      <c r="B1" s="107" t="s">
        <v>1</v>
      </c>
      <c r="C1" s="107"/>
      <c r="D1" s="107" t="s">
        <v>2</v>
      </c>
      <c r="E1" s="107" t="s">
        <v>3</v>
      </c>
      <c r="F1" s="1" t="s">
        <v>4</v>
      </c>
    </row>
    <row r="2" spans="1:6" ht="12.75" customHeight="1" hidden="1">
      <c r="A2" s="3"/>
      <c r="B2" s="107"/>
      <c r="C2" s="107"/>
      <c r="D2" s="107"/>
      <c r="E2" s="107"/>
      <c r="F2" s="4"/>
    </row>
    <row r="3" spans="1:6" ht="6.75" customHeight="1">
      <c r="A3" s="3"/>
      <c r="B3" s="107"/>
      <c r="C3" s="107"/>
      <c r="D3" s="107"/>
      <c r="E3" s="107"/>
      <c r="F3" s="4"/>
    </row>
    <row r="4" spans="1:6" ht="12.75" customHeight="1">
      <c r="A4" s="3"/>
      <c r="B4" s="107" t="s">
        <v>5</v>
      </c>
      <c r="C4" s="107" t="s">
        <v>6</v>
      </c>
      <c r="D4" s="107"/>
      <c r="E4" s="107"/>
      <c r="F4" s="5" t="s">
        <v>7</v>
      </c>
    </row>
    <row r="5" spans="1:6" ht="12.75">
      <c r="A5" s="3"/>
      <c r="B5" s="107"/>
      <c r="C5" s="107"/>
      <c r="D5" s="107"/>
      <c r="E5" s="107"/>
      <c r="F5" s="4"/>
    </row>
    <row r="6" spans="1:6" ht="0.75" customHeight="1">
      <c r="A6" s="3"/>
      <c r="B6" s="107"/>
      <c r="C6" s="107"/>
      <c r="D6" s="107"/>
      <c r="E6" s="107"/>
      <c r="F6" s="4"/>
    </row>
    <row r="7" spans="1:6" ht="12.75" hidden="1">
      <c r="A7" s="3"/>
      <c r="B7" s="107"/>
      <c r="C7" s="107"/>
      <c r="D7" s="107"/>
      <c r="E7" s="107"/>
      <c r="F7" s="6"/>
    </row>
    <row r="8" spans="1:6" ht="12.75" customHeight="1">
      <c r="A8" s="7"/>
      <c r="B8" s="8"/>
      <c r="C8" s="8"/>
      <c r="D8" s="108" t="s">
        <v>8</v>
      </c>
      <c r="E8" s="108"/>
      <c r="F8" s="108"/>
    </row>
    <row r="9" spans="1:6" ht="12.75">
      <c r="A9" s="2">
        <v>0</v>
      </c>
      <c r="B9" s="1">
        <v>1</v>
      </c>
      <c r="C9" s="9">
        <v>2</v>
      </c>
      <c r="D9" s="2">
        <v>3</v>
      </c>
      <c r="E9" s="2">
        <v>4</v>
      </c>
      <c r="F9" s="2">
        <v>5</v>
      </c>
    </row>
    <row r="10" spans="1:6" ht="27">
      <c r="A10" s="10">
        <v>1</v>
      </c>
      <c r="B10" s="11" t="s">
        <v>9</v>
      </c>
      <c r="C10" s="12" t="s">
        <v>15</v>
      </c>
      <c r="D10" s="13">
        <v>3.27</v>
      </c>
      <c r="E10" s="13">
        <v>4.38</v>
      </c>
      <c r="F10" s="14">
        <f>Tekst2_2/Tekst1_2</f>
        <v>1.3394495412844036</v>
      </c>
    </row>
    <row r="11" spans="1:6" ht="12.75" customHeight="1">
      <c r="A11" s="104"/>
      <c r="B11" s="105" t="s">
        <v>118</v>
      </c>
      <c r="C11" s="15"/>
      <c r="D11" s="16"/>
      <c r="E11" s="16"/>
      <c r="F11" s="17"/>
    </row>
    <row r="12" spans="1:6" ht="14.25">
      <c r="A12" s="104"/>
      <c r="B12" s="109"/>
      <c r="C12" s="18" t="s">
        <v>11</v>
      </c>
      <c r="D12" s="24">
        <v>0</v>
      </c>
      <c r="E12" s="24">
        <v>0</v>
      </c>
      <c r="F12" s="19">
        <v>0</v>
      </c>
    </row>
    <row r="13" spans="1:6" ht="27">
      <c r="A13" s="10">
        <v>2</v>
      </c>
      <c r="B13" s="11" t="s">
        <v>12</v>
      </c>
      <c r="C13" s="12" t="s">
        <v>15</v>
      </c>
      <c r="D13" s="13">
        <v>5.08</v>
      </c>
      <c r="E13" s="13">
        <v>5.91</v>
      </c>
      <c r="F13" s="14">
        <f>Tekst5_2/Tekst4_2</f>
        <v>1.1633858267716535</v>
      </c>
    </row>
    <row r="14" spans="1:6" ht="12.75" customHeight="1">
      <c r="A14" s="104"/>
      <c r="B14" s="109" t="s">
        <v>16</v>
      </c>
      <c r="C14" s="21"/>
      <c r="D14" s="16"/>
      <c r="E14" s="16"/>
      <c r="F14" s="17"/>
    </row>
    <row r="15" spans="1:6" ht="14.25">
      <c r="A15" s="104"/>
      <c r="B15" s="109"/>
      <c r="C15" s="22" t="s">
        <v>11</v>
      </c>
      <c r="D15" s="24">
        <v>0</v>
      </c>
      <c r="E15" s="24">
        <v>0</v>
      </c>
      <c r="F15" s="19">
        <v>0</v>
      </c>
    </row>
    <row r="16" spans="1:6" ht="27">
      <c r="A16" s="10">
        <v>3</v>
      </c>
      <c r="B16" s="11" t="s">
        <v>14</v>
      </c>
      <c r="C16" s="12" t="s">
        <v>15</v>
      </c>
      <c r="D16" s="13">
        <v>4.4</v>
      </c>
      <c r="E16" s="13">
        <v>5.17</v>
      </c>
      <c r="F16" s="14">
        <f>Tekst266_2/Tekst263_2</f>
        <v>1.1749999999999998</v>
      </c>
    </row>
    <row r="17" spans="1:6" ht="12.75" customHeight="1">
      <c r="A17" s="104"/>
      <c r="B17" s="105" t="s">
        <v>119</v>
      </c>
      <c r="C17" s="21"/>
      <c r="D17" s="16"/>
      <c r="E17" s="16"/>
      <c r="F17" s="17"/>
    </row>
    <row r="18" spans="1:6" ht="14.25">
      <c r="A18" s="104"/>
      <c r="B18" s="106"/>
      <c r="C18" s="22" t="s">
        <v>11</v>
      </c>
      <c r="D18" s="24">
        <v>0</v>
      </c>
      <c r="E18" s="24">
        <v>0</v>
      </c>
      <c r="F18" s="19">
        <v>0</v>
      </c>
    </row>
  </sheetData>
  <sheetProtection/>
  <mergeCells count="12">
    <mergeCell ref="E1:E7"/>
    <mergeCell ref="B4:B7"/>
    <mergeCell ref="C4:C7"/>
    <mergeCell ref="D8:F8"/>
    <mergeCell ref="A17:A18"/>
    <mergeCell ref="B17:B18"/>
    <mergeCell ref="B1:C3"/>
    <mergeCell ref="D1:D7"/>
    <mergeCell ref="A11:A12"/>
    <mergeCell ref="B11:B12"/>
    <mergeCell ref="A14:A15"/>
    <mergeCell ref="B14:B15"/>
  </mergeCells>
  <printOptions/>
  <pageMargins left="0.75" right="0.75" top="1" bottom="1" header="0.5" footer="0.5118055555555555"/>
  <pageSetup horizontalDpi="300" verticalDpi="300" orientation="portrait" paperSize="9" r:id="rId1"/>
  <headerFooter alignWithMargins="0">
    <oddHeader>&amp;CTabela B: Porównanie cen i stawek taryfy obowiązującej w dniu złożenia wniosku z cenami i stawkami opłat nowej taryfy dotyczącej odprowadzania ścieków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3.75390625" style="0" customWidth="1"/>
    <col min="2" max="2" width="32.875" style="0" customWidth="1"/>
    <col min="3" max="3" width="45.75390625" style="0" customWidth="1"/>
    <col min="4" max="4" width="42.125" style="0" customWidth="1"/>
    <col min="6" max="6" width="20.625" style="0" customWidth="1"/>
    <col min="7" max="7" width="15.00390625" style="0" customWidth="1"/>
    <col min="8" max="8" width="18.375" style="0" customWidth="1"/>
    <col min="10" max="10" width="15.00390625" style="0" customWidth="1"/>
  </cols>
  <sheetData>
    <row r="1" spans="1:4" ht="18.75" customHeight="1">
      <c r="A1" s="110" t="s">
        <v>0</v>
      </c>
      <c r="B1" s="110" t="s">
        <v>1</v>
      </c>
      <c r="C1" s="26" t="s">
        <v>17</v>
      </c>
      <c r="D1" s="26" t="s">
        <v>18</v>
      </c>
    </row>
    <row r="2" spans="1:4" ht="30" customHeight="1">
      <c r="A2" s="110"/>
      <c r="B2" s="110"/>
      <c r="C2" s="26" t="s">
        <v>19</v>
      </c>
      <c r="D2" s="26" t="s">
        <v>20</v>
      </c>
    </row>
    <row r="3" spans="1:4" ht="12.75">
      <c r="A3" s="26">
        <v>0</v>
      </c>
      <c r="B3" s="26">
        <v>1</v>
      </c>
      <c r="C3" s="26">
        <v>2</v>
      </c>
      <c r="D3" s="26">
        <v>3</v>
      </c>
    </row>
    <row r="4" spans="1:4" ht="14.25" customHeight="1">
      <c r="A4" s="27">
        <v>1</v>
      </c>
      <c r="B4" s="28" t="s">
        <v>21</v>
      </c>
      <c r="C4" s="29"/>
      <c r="D4" s="29"/>
    </row>
    <row r="5" spans="1:4" ht="32.25" customHeight="1">
      <c r="A5" s="111"/>
      <c r="B5" s="30" t="s">
        <v>22</v>
      </c>
      <c r="C5" s="31">
        <v>650704</v>
      </c>
      <c r="D5" s="31">
        <v>565523</v>
      </c>
    </row>
    <row r="6" spans="1:4" ht="28.5" customHeight="1">
      <c r="A6" s="111"/>
      <c r="B6" s="32" t="s">
        <v>23</v>
      </c>
      <c r="C6" s="31">
        <v>0</v>
      </c>
      <c r="D6" s="31">
        <v>0</v>
      </c>
    </row>
    <row r="7" spans="1:4" ht="25.5">
      <c r="A7" s="111"/>
      <c r="B7" s="32" t="s">
        <v>24</v>
      </c>
      <c r="C7" s="31">
        <v>0</v>
      </c>
      <c r="D7" s="31">
        <v>0</v>
      </c>
    </row>
    <row r="8" spans="1:4" ht="25.5">
      <c r="A8" s="111"/>
      <c r="B8" s="33" t="s">
        <v>25</v>
      </c>
      <c r="C8" s="34">
        <v>0</v>
      </c>
      <c r="D8" s="34">
        <v>0</v>
      </c>
    </row>
    <row r="9" spans="1:4" ht="12.75">
      <c r="A9" s="111"/>
      <c r="B9" s="30" t="s">
        <v>26</v>
      </c>
      <c r="C9" s="31">
        <v>0</v>
      </c>
      <c r="D9" s="31">
        <v>0</v>
      </c>
    </row>
    <row r="10" spans="1:4" ht="19.5" customHeight="1">
      <c r="A10" s="111"/>
      <c r="B10" s="30" t="s">
        <v>27</v>
      </c>
      <c r="C10" s="31">
        <v>0</v>
      </c>
      <c r="D10" s="31">
        <v>0</v>
      </c>
    </row>
    <row r="11" spans="1:4" ht="18" customHeight="1">
      <c r="A11" s="111"/>
      <c r="B11" s="30" t="s">
        <v>28</v>
      </c>
      <c r="C11" s="31">
        <v>0</v>
      </c>
      <c r="D11" s="31">
        <v>0</v>
      </c>
    </row>
    <row r="12" spans="1:4" ht="21" customHeight="1">
      <c r="A12" s="111"/>
      <c r="B12" s="30" t="s">
        <v>29</v>
      </c>
      <c r="C12" s="31">
        <v>650704</v>
      </c>
      <c r="D12" s="31">
        <v>565523</v>
      </c>
    </row>
    <row r="13" spans="1:4" ht="16.5" customHeight="1">
      <c r="A13" s="27">
        <v>2</v>
      </c>
      <c r="B13" s="28" t="s">
        <v>30</v>
      </c>
      <c r="C13" s="29"/>
      <c r="D13" s="29"/>
    </row>
    <row r="14" spans="1:4" ht="26.25" customHeight="1">
      <c r="A14" s="111"/>
      <c r="B14" s="30" t="s">
        <v>22</v>
      </c>
      <c r="C14" s="31">
        <v>954120</v>
      </c>
      <c r="D14" s="31">
        <v>1110087</v>
      </c>
    </row>
    <row r="15" spans="1:4" ht="33" customHeight="1">
      <c r="A15" s="111"/>
      <c r="B15" s="32" t="s">
        <v>23</v>
      </c>
      <c r="C15" s="31">
        <v>0</v>
      </c>
      <c r="D15" s="31">
        <v>0</v>
      </c>
    </row>
    <row r="16" spans="1:4" ht="51.75" customHeight="1">
      <c r="A16" s="111"/>
      <c r="B16" s="35" t="s">
        <v>31</v>
      </c>
      <c r="C16" s="34">
        <v>0</v>
      </c>
      <c r="D16" s="34">
        <v>0</v>
      </c>
    </row>
    <row r="17" spans="1:4" ht="25.5">
      <c r="A17" s="111"/>
      <c r="B17" s="33" t="s">
        <v>25</v>
      </c>
      <c r="C17" s="34"/>
      <c r="D17" s="34"/>
    </row>
    <row r="18" spans="1:4" ht="12.75">
      <c r="A18" s="111"/>
      <c r="B18" s="30" t="s">
        <v>26</v>
      </c>
      <c r="C18" s="31"/>
      <c r="D18" s="31"/>
    </row>
    <row r="19" spans="1:4" ht="16.5" customHeight="1">
      <c r="A19" s="111"/>
      <c r="B19" s="30" t="s">
        <v>27</v>
      </c>
      <c r="C19" s="31">
        <v>0</v>
      </c>
      <c r="D19" s="31">
        <v>0</v>
      </c>
    </row>
    <row r="20" spans="1:4" ht="17.25" customHeight="1">
      <c r="A20" s="111"/>
      <c r="B20" s="30" t="s">
        <v>28</v>
      </c>
      <c r="C20" s="31"/>
      <c r="D20" s="31">
        <v>0</v>
      </c>
    </row>
    <row r="21" spans="1:4" ht="18.75" customHeight="1">
      <c r="A21" s="111"/>
      <c r="B21" s="30" t="s">
        <v>29</v>
      </c>
      <c r="C21" s="23">
        <v>954120</v>
      </c>
      <c r="D21" s="31">
        <v>1110087</v>
      </c>
    </row>
    <row r="22" spans="1:4" ht="24.75" customHeight="1">
      <c r="A22" s="1">
        <v>3</v>
      </c>
      <c r="B22" s="36" t="s">
        <v>32</v>
      </c>
      <c r="C22" s="37" t="s">
        <v>33</v>
      </c>
      <c r="D22" s="38">
        <f>Tekst34_3/Tekst33_3</f>
        <v>0.8690940888637537</v>
      </c>
    </row>
    <row r="23" spans="1:4" ht="27" customHeight="1">
      <c r="A23" s="2">
        <v>4</v>
      </c>
      <c r="B23" s="39" t="s">
        <v>34</v>
      </c>
      <c r="C23" s="40" t="s">
        <v>33</v>
      </c>
      <c r="D23" s="41">
        <f>Tekst50_3/Tekst49_3</f>
        <v>1.1634668595145266</v>
      </c>
    </row>
    <row r="25" spans="7:8" ht="12.75">
      <c r="G25" s="23"/>
      <c r="H25" s="23"/>
    </row>
    <row r="26" spans="7:8" ht="12.75">
      <c r="G26" s="23"/>
      <c r="H26" s="23"/>
    </row>
    <row r="27" spans="7:8" ht="12.75">
      <c r="G27" s="23"/>
      <c r="H27" s="23"/>
    </row>
    <row r="28" spans="7:8" ht="12.75">
      <c r="G28" s="23"/>
      <c r="H28" s="23"/>
    </row>
    <row r="29" spans="7:8" ht="12.75">
      <c r="G29" s="23"/>
      <c r="H29" s="23"/>
    </row>
    <row r="30" spans="7:8" ht="12.75">
      <c r="G30" s="23"/>
      <c r="H30" s="23"/>
    </row>
    <row r="31" spans="7:8" ht="12.75">
      <c r="G31" s="23"/>
      <c r="H31" s="23"/>
    </row>
    <row r="32" spans="7:8" ht="12.75">
      <c r="G32" s="42"/>
      <c r="H32" s="25"/>
    </row>
    <row r="33" spans="2:3" ht="12.75">
      <c r="B33" s="43"/>
      <c r="C33" s="43"/>
    </row>
    <row r="34" spans="2:10" ht="12.75">
      <c r="B34" s="23"/>
      <c r="C34" s="23"/>
      <c r="G34" s="23"/>
      <c r="H34" s="23"/>
      <c r="I34" s="44"/>
      <c r="J34" s="45"/>
    </row>
    <row r="35" spans="2:10" ht="12.75">
      <c r="B35" s="23"/>
      <c r="C35" s="23"/>
      <c r="G35" s="23"/>
      <c r="H35" s="23"/>
      <c r="I35" s="44"/>
      <c r="J35" s="45"/>
    </row>
    <row r="36" spans="2:10" ht="12.75">
      <c r="B36" s="23"/>
      <c r="C36" s="23"/>
      <c r="G36" s="23"/>
      <c r="H36" s="23"/>
      <c r="I36" s="44"/>
      <c r="J36" s="45"/>
    </row>
    <row r="37" spans="2:10" ht="12.75">
      <c r="B37" s="23"/>
      <c r="C37" s="23"/>
      <c r="G37" s="23"/>
      <c r="H37" s="23"/>
      <c r="I37" s="44"/>
      <c r="J37" s="45"/>
    </row>
    <row r="38" spans="2:10" ht="12.75">
      <c r="B38" s="23"/>
      <c r="C38" s="23"/>
      <c r="G38" s="23"/>
      <c r="H38" s="23"/>
      <c r="I38" s="44"/>
      <c r="J38" s="45"/>
    </row>
    <row r="39" spans="2:10" ht="12.75">
      <c r="B39" s="23"/>
      <c r="C39" s="23"/>
      <c r="G39" s="23"/>
      <c r="H39" s="23"/>
      <c r="I39" s="44"/>
      <c r="J39" s="45"/>
    </row>
    <row r="40" spans="2:10" ht="12.75">
      <c r="B40" s="23"/>
      <c r="C40" s="23"/>
      <c r="G40" s="23"/>
      <c r="H40" s="23"/>
      <c r="J40" s="45"/>
    </row>
    <row r="41" spans="2:8" ht="12.75">
      <c r="B41" s="23"/>
      <c r="C41" s="23"/>
      <c r="G41" s="42"/>
      <c r="H41" s="25"/>
    </row>
    <row r="42" spans="2:3" ht="12.75">
      <c r="B42" s="23"/>
      <c r="C42" s="23"/>
    </row>
    <row r="43" spans="2:3" ht="12.75">
      <c r="B43" s="23"/>
      <c r="C43" s="23"/>
    </row>
    <row r="44" spans="2:3" ht="12.75">
      <c r="B44" s="23"/>
      <c r="C44" s="23"/>
    </row>
    <row r="45" ht="12.75">
      <c r="F45" s="46"/>
    </row>
  </sheetData>
  <sheetProtection/>
  <mergeCells count="4">
    <mergeCell ref="A1:A2"/>
    <mergeCell ref="B1:B2"/>
    <mergeCell ref="A5:A12"/>
    <mergeCell ref="A14:A21"/>
  </mergeCells>
  <printOptions/>
  <pageMargins left="0.75" right="0.75" top="1" bottom="1" header="0.5" footer="0.5118055555555555"/>
  <pageSetup fitToHeight="1" fitToWidth="1" horizontalDpi="300" verticalDpi="300" orientation="portrait" paperSize="9" scale="70" r:id="rId1"/>
  <headerFooter alignWithMargins="0">
    <oddHeader>&amp;CTabela C: Ustalenie poziomu niezbędnych przychodów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B1">
      <selection activeCell="D31" sqref="D31"/>
    </sheetView>
  </sheetViews>
  <sheetFormatPr defaultColWidth="9.00390625" defaultRowHeight="12.75"/>
  <cols>
    <col min="1" max="1" width="3.875" style="0" customWidth="1"/>
    <col min="2" max="2" width="24.875" style="0" customWidth="1"/>
    <col min="3" max="3" width="16.75390625" style="0" customWidth="1"/>
    <col min="4" max="4" width="17.25390625" style="0" customWidth="1"/>
    <col min="5" max="5" width="19.875" style="0" customWidth="1"/>
    <col min="6" max="6" width="12.375" style="0" customWidth="1"/>
    <col min="7" max="7" width="14.125" style="0" customWidth="1"/>
  </cols>
  <sheetData>
    <row r="1" spans="1:7" ht="12.75" customHeight="1">
      <c r="A1" s="110" t="s">
        <v>0</v>
      </c>
      <c r="B1" s="110" t="s">
        <v>1</v>
      </c>
      <c r="C1" s="47" t="s">
        <v>35</v>
      </c>
      <c r="D1" s="110" t="s">
        <v>36</v>
      </c>
      <c r="E1" s="110"/>
      <c r="F1" s="110"/>
      <c r="G1" s="110"/>
    </row>
    <row r="2" spans="1:7" ht="12.75">
      <c r="A2" s="110"/>
      <c r="B2" s="110"/>
      <c r="C2" s="48" t="s">
        <v>37</v>
      </c>
      <c r="D2" s="110"/>
      <c r="E2" s="110"/>
      <c r="F2" s="110"/>
      <c r="G2" s="110"/>
    </row>
    <row r="3" spans="1:7" ht="12.75">
      <c r="A3" s="110"/>
      <c r="B3" s="110"/>
      <c r="C3" s="48" t="s">
        <v>38</v>
      </c>
      <c r="D3" s="110"/>
      <c r="E3" s="110"/>
      <c r="F3" s="110"/>
      <c r="G3" s="110"/>
    </row>
    <row r="4" spans="1:7" ht="12.75">
      <c r="A4" s="110"/>
      <c r="B4" s="110"/>
      <c r="C4" s="48" t="s">
        <v>39</v>
      </c>
      <c r="D4" s="47" t="s">
        <v>40</v>
      </c>
      <c r="E4" s="47" t="s">
        <v>41</v>
      </c>
      <c r="F4" s="47"/>
      <c r="G4" s="47" t="s">
        <v>43</v>
      </c>
    </row>
    <row r="5" spans="1:7" ht="12.75">
      <c r="A5" s="110"/>
      <c r="B5" s="110"/>
      <c r="C5" s="4"/>
      <c r="D5" s="4" t="s">
        <v>44</v>
      </c>
      <c r="E5" s="4" t="s">
        <v>16</v>
      </c>
      <c r="F5" s="4"/>
      <c r="G5" s="4"/>
    </row>
    <row r="6" spans="1:7" ht="11.25" customHeight="1">
      <c r="A6" s="110"/>
      <c r="B6" s="110"/>
      <c r="C6" s="4"/>
      <c r="D6" s="101" t="s">
        <v>116</v>
      </c>
      <c r="E6" s="101" t="s">
        <v>121</v>
      </c>
      <c r="F6" s="49"/>
      <c r="G6" s="49"/>
    </row>
    <row r="7" spans="1:7" ht="3" customHeight="1">
      <c r="A7" s="110"/>
      <c r="B7" s="110"/>
      <c r="C7" s="6"/>
      <c r="D7" s="50" t="s">
        <v>46</v>
      </c>
      <c r="E7" s="50" t="s">
        <v>46</v>
      </c>
      <c r="F7" s="50" t="s">
        <v>46</v>
      </c>
      <c r="G7" s="50" t="s">
        <v>46</v>
      </c>
    </row>
    <row r="8" spans="1:7" ht="12.75">
      <c r="A8" s="26">
        <v>0</v>
      </c>
      <c r="B8" s="26">
        <v>1</v>
      </c>
      <c r="C8" s="26">
        <v>2</v>
      </c>
      <c r="D8" s="26">
        <v>3</v>
      </c>
      <c r="E8" s="26">
        <v>4</v>
      </c>
      <c r="F8" s="26">
        <v>5</v>
      </c>
      <c r="G8" s="26">
        <v>9</v>
      </c>
    </row>
    <row r="9" spans="1:7" ht="12.75">
      <c r="A9" s="51">
        <v>1</v>
      </c>
      <c r="B9" s="52" t="s">
        <v>21</v>
      </c>
      <c r="C9" s="53"/>
      <c r="D9" s="53"/>
      <c r="E9" s="53"/>
      <c r="F9" s="53"/>
      <c r="G9" s="53"/>
    </row>
    <row r="10" spans="1:7" ht="25.5">
      <c r="A10" s="113"/>
      <c r="B10" s="55" t="s">
        <v>22</v>
      </c>
      <c r="C10" s="54"/>
      <c r="D10" s="56"/>
      <c r="E10" s="56"/>
      <c r="F10" s="56"/>
      <c r="G10" s="56"/>
    </row>
    <row r="11" spans="1:7" ht="25.5">
      <c r="A11" s="113"/>
      <c r="B11" s="57" t="s">
        <v>47</v>
      </c>
      <c r="C11" s="54"/>
      <c r="D11" s="58">
        <f>SUM(D12:D19)</f>
        <v>400171</v>
      </c>
      <c r="E11" s="58">
        <f>SUM(E12:E19)+Tekst87_4</f>
        <v>165352</v>
      </c>
      <c r="F11" s="58"/>
      <c r="G11" s="58">
        <f aca="true" t="shared" si="0" ref="G11:G20">SUM(D11:F11)</f>
        <v>565523</v>
      </c>
    </row>
    <row r="12" spans="1:7" ht="27" customHeight="1">
      <c r="A12" s="113"/>
      <c r="B12" s="59" t="s">
        <v>48</v>
      </c>
      <c r="C12" s="60" t="s">
        <v>49</v>
      </c>
      <c r="D12" s="56">
        <v>0</v>
      </c>
      <c r="E12" s="56">
        <v>0</v>
      </c>
      <c r="F12" s="56"/>
      <c r="G12" s="56">
        <f t="shared" si="0"/>
        <v>0</v>
      </c>
    </row>
    <row r="13" spans="1:7" ht="25.5">
      <c r="A13" s="113"/>
      <c r="B13" s="59" t="s">
        <v>50</v>
      </c>
      <c r="C13" s="60" t="s">
        <v>49</v>
      </c>
      <c r="D13" s="56">
        <v>120905</v>
      </c>
      <c r="E13" s="56">
        <v>49958</v>
      </c>
      <c r="F13" s="56"/>
      <c r="G13" s="56">
        <f t="shared" si="0"/>
        <v>170863</v>
      </c>
    </row>
    <row r="14" spans="1:7" ht="12.75">
      <c r="A14" s="113"/>
      <c r="B14" s="59" t="s">
        <v>51</v>
      </c>
      <c r="C14" s="60" t="s">
        <v>49</v>
      </c>
      <c r="D14" s="56">
        <v>57894</v>
      </c>
      <c r="E14" s="56">
        <v>23922</v>
      </c>
      <c r="F14" s="56"/>
      <c r="G14" s="56">
        <f t="shared" si="0"/>
        <v>81816</v>
      </c>
    </row>
    <row r="15" spans="1:7" ht="12.75">
      <c r="A15" s="113"/>
      <c r="B15" s="59" t="s">
        <v>52</v>
      </c>
      <c r="C15" s="60" t="s">
        <v>49</v>
      </c>
      <c r="D15" s="56">
        <v>85025</v>
      </c>
      <c r="E15" s="56">
        <v>35133</v>
      </c>
      <c r="F15" s="56"/>
      <c r="G15" s="56">
        <f t="shared" si="0"/>
        <v>120158</v>
      </c>
    </row>
    <row r="16" spans="1:7" ht="38.25">
      <c r="A16" s="113"/>
      <c r="B16" s="59" t="s">
        <v>53</v>
      </c>
      <c r="C16" s="60" t="s">
        <v>54</v>
      </c>
      <c r="D16" s="56">
        <v>7874</v>
      </c>
      <c r="E16" s="56">
        <v>3254</v>
      </c>
      <c r="F16" s="56"/>
      <c r="G16" s="56">
        <f t="shared" si="0"/>
        <v>11128</v>
      </c>
    </row>
    <row r="17" spans="1:7" ht="25.5">
      <c r="A17" s="113"/>
      <c r="B17" s="59" t="s">
        <v>55</v>
      </c>
      <c r="C17" s="60" t="s">
        <v>49</v>
      </c>
      <c r="D17" s="56">
        <v>106280</v>
      </c>
      <c r="E17" s="56">
        <v>43915</v>
      </c>
      <c r="F17" s="56"/>
      <c r="G17" s="56">
        <f t="shared" si="0"/>
        <v>150195</v>
      </c>
    </row>
    <row r="18" spans="1:7" ht="12.75">
      <c r="A18" s="113"/>
      <c r="B18" s="59" t="s">
        <v>56</v>
      </c>
      <c r="C18" s="60" t="s">
        <v>49</v>
      </c>
      <c r="D18" s="56">
        <v>17466</v>
      </c>
      <c r="E18" s="56">
        <v>7217</v>
      </c>
      <c r="F18" s="56"/>
      <c r="G18" s="56">
        <f t="shared" si="0"/>
        <v>24683</v>
      </c>
    </row>
    <row r="19" spans="1:7" ht="12.75">
      <c r="A19" s="113"/>
      <c r="B19" s="59" t="s">
        <v>57</v>
      </c>
      <c r="C19" s="60" t="s">
        <v>49</v>
      </c>
      <c r="D19" s="56">
        <v>4727</v>
      </c>
      <c r="E19" s="56">
        <v>1953</v>
      </c>
      <c r="F19" s="56"/>
      <c r="G19" s="56">
        <f t="shared" si="0"/>
        <v>6680</v>
      </c>
    </row>
    <row r="20" spans="1:7" ht="25.5">
      <c r="A20" s="113"/>
      <c r="B20" s="57" t="s">
        <v>58</v>
      </c>
      <c r="C20" s="54"/>
      <c r="D20" s="56">
        <f>SUM(D21:D27)</f>
        <v>0</v>
      </c>
      <c r="E20" s="56">
        <v>0</v>
      </c>
      <c r="F20" s="56"/>
      <c r="G20" s="56">
        <f t="shared" si="0"/>
        <v>0</v>
      </c>
    </row>
    <row r="21" spans="1:7" ht="23.25" customHeight="1">
      <c r="A21" s="113"/>
      <c r="B21" s="61" t="s">
        <v>59</v>
      </c>
      <c r="C21" s="114" t="s">
        <v>49</v>
      </c>
      <c r="D21" s="112">
        <v>0</v>
      </c>
      <c r="E21" s="112">
        <v>0</v>
      </c>
      <c r="F21" s="112"/>
      <c r="G21" s="112">
        <v>0</v>
      </c>
    </row>
    <row r="22" spans="1:7" ht="25.5">
      <c r="A22" s="113"/>
      <c r="B22" s="62" t="s">
        <v>60</v>
      </c>
      <c r="C22" s="114"/>
      <c r="D22" s="112"/>
      <c r="E22" s="112"/>
      <c r="F22" s="112"/>
      <c r="G22" s="112"/>
    </row>
    <row r="23" spans="1:7" ht="25.5">
      <c r="A23" s="113"/>
      <c r="B23" s="63" t="s">
        <v>61</v>
      </c>
      <c r="C23" s="39" t="s">
        <v>49</v>
      </c>
      <c r="D23" s="64">
        <v>0</v>
      </c>
      <c r="E23" s="64">
        <v>0</v>
      </c>
      <c r="F23" s="64"/>
      <c r="G23" s="64">
        <f>SUM(D23:F23)</f>
        <v>0</v>
      </c>
    </row>
    <row r="24" spans="1:7" ht="30.75" customHeight="1">
      <c r="A24" s="113"/>
      <c r="B24" s="55" t="s">
        <v>25</v>
      </c>
      <c r="C24" s="60" t="s">
        <v>49</v>
      </c>
      <c r="D24" s="56"/>
      <c r="E24" s="56">
        <v>0</v>
      </c>
      <c r="F24" s="56"/>
      <c r="G24" s="56">
        <f>SUM(D24:F24)</f>
        <v>0</v>
      </c>
    </row>
    <row r="25" spans="1:7" ht="12.75">
      <c r="A25" s="113"/>
      <c r="B25" s="55" t="s">
        <v>26</v>
      </c>
      <c r="C25" s="60" t="s">
        <v>49</v>
      </c>
      <c r="D25" s="56">
        <v>0</v>
      </c>
      <c r="E25" s="56">
        <v>0</v>
      </c>
      <c r="F25" s="56"/>
      <c r="G25" s="56">
        <f>SUM(D25:F25)</f>
        <v>0</v>
      </c>
    </row>
    <row r="26" spans="1:7" ht="25.5">
      <c r="A26" s="113"/>
      <c r="B26" s="55" t="s">
        <v>27</v>
      </c>
      <c r="C26" s="60" t="s">
        <v>49</v>
      </c>
      <c r="D26" s="56">
        <v>0</v>
      </c>
      <c r="E26" s="56">
        <v>0</v>
      </c>
      <c r="F26" s="56"/>
      <c r="G26" s="56">
        <f>SUM(D26:F26)</f>
        <v>0</v>
      </c>
    </row>
    <row r="27" spans="1:7" ht="12.75">
      <c r="A27" s="113"/>
      <c r="B27" s="55" t="s">
        <v>28</v>
      </c>
      <c r="C27" s="60" t="s">
        <v>49</v>
      </c>
      <c r="D27" s="56">
        <v>0</v>
      </c>
      <c r="E27" s="56">
        <v>0</v>
      </c>
      <c r="F27" s="56"/>
      <c r="G27" s="56">
        <f>SUM(D27:F27)</f>
        <v>0</v>
      </c>
    </row>
    <row r="28" spans="1:7" ht="38.25">
      <c r="A28" s="113"/>
      <c r="B28" s="65" t="s">
        <v>62</v>
      </c>
      <c r="C28" s="66"/>
      <c r="D28" s="58">
        <f>Tekst54_4+Tekst73_4+Tekst74_4+Tekst75_4</f>
        <v>400171</v>
      </c>
      <c r="E28" s="58">
        <f>Tekst90_4+Tekst89_4+Tekst56_4+Tekst91_4</f>
        <v>165352</v>
      </c>
      <c r="F28" s="58">
        <f>Tekst58_4+Tekst105_4+Tekst106_4+Tekst107_4</f>
        <v>0</v>
      </c>
      <c r="G28" s="58">
        <f>Tekst60_4+Tekst121_4+Tekst122_4+Tekst123_4</f>
        <v>565523</v>
      </c>
    </row>
    <row r="29" spans="1:7" ht="12.75">
      <c r="A29" s="67"/>
      <c r="B29" s="55"/>
      <c r="C29" s="54"/>
      <c r="D29" s="47" t="s">
        <v>40</v>
      </c>
      <c r="E29" s="47" t="s">
        <v>41</v>
      </c>
      <c r="F29" s="47" t="s">
        <v>42</v>
      </c>
      <c r="G29" s="47" t="s">
        <v>43</v>
      </c>
    </row>
    <row r="30" spans="1:7" ht="12.75">
      <c r="A30" s="67"/>
      <c r="B30" s="55"/>
      <c r="C30" s="54"/>
      <c r="D30" s="4" t="s">
        <v>44</v>
      </c>
      <c r="E30" s="4" t="s">
        <v>45</v>
      </c>
      <c r="F30" s="4" t="s">
        <v>123</v>
      </c>
      <c r="G30" s="4"/>
    </row>
    <row r="31" spans="1:7" ht="25.5">
      <c r="A31" s="67"/>
      <c r="B31" s="55"/>
      <c r="C31" s="54"/>
      <c r="D31" s="101" t="s">
        <v>122</v>
      </c>
      <c r="E31" s="102" t="s">
        <v>63</v>
      </c>
      <c r="F31" s="103" t="s">
        <v>124</v>
      </c>
      <c r="G31" s="49"/>
    </row>
    <row r="32" spans="1:7" ht="25.5">
      <c r="A32" s="51">
        <v>2</v>
      </c>
      <c r="B32" s="52" t="s">
        <v>30</v>
      </c>
      <c r="C32" s="53"/>
      <c r="D32" s="53"/>
      <c r="E32" s="53"/>
      <c r="F32" s="53"/>
      <c r="G32" s="53"/>
    </row>
    <row r="33" spans="1:7" ht="25.5">
      <c r="A33" s="113"/>
      <c r="B33" s="55" t="s">
        <v>22</v>
      </c>
      <c r="C33" s="54"/>
      <c r="D33" s="54"/>
      <c r="E33" s="54"/>
      <c r="F33" s="54"/>
      <c r="G33" s="54"/>
    </row>
    <row r="34" spans="1:7" ht="25.5">
      <c r="A34" s="113"/>
      <c r="B34" s="57" t="s">
        <v>47</v>
      </c>
      <c r="C34" s="54"/>
      <c r="D34" s="56">
        <f>SUM(D35:D42)</f>
        <v>262956</v>
      </c>
      <c r="E34" s="56">
        <f>SUM(E35:E42)</f>
        <v>763512</v>
      </c>
      <c r="F34" s="56">
        <f>SUM(F35:F42)+Tekst182_4</f>
        <v>83619</v>
      </c>
      <c r="G34" s="56">
        <f aca="true" t="shared" si="1" ref="G34:G43">SUM(D34:F34)</f>
        <v>1110087</v>
      </c>
    </row>
    <row r="35" spans="1:7" ht="28.5" customHeight="1">
      <c r="A35" s="113"/>
      <c r="B35" s="59" t="s">
        <v>48</v>
      </c>
      <c r="C35" s="60" t="s">
        <v>64</v>
      </c>
      <c r="D35" s="56">
        <v>0</v>
      </c>
      <c r="E35" s="56">
        <v>0</v>
      </c>
      <c r="F35" s="56">
        <v>0</v>
      </c>
      <c r="G35" s="56">
        <f t="shared" si="1"/>
        <v>0</v>
      </c>
    </row>
    <row r="36" spans="1:7" ht="25.5">
      <c r="A36" s="113"/>
      <c r="B36" s="59" t="s">
        <v>50</v>
      </c>
      <c r="C36" s="60" t="s">
        <v>64</v>
      </c>
      <c r="D36" s="56">
        <v>75690</v>
      </c>
      <c r="E36" s="56">
        <v>219772</v>
      </c>
      <c r="F36" s="56">
        <v>24070</v>
      </c>
      <c r="G36" s="56">
        <f t="shared" si="1"/>
        <v>319532</v>
      </c>
    </row>
    <row r="37" spans="1:7" ht="12.75">
      <c r="A37" s="113"/>
      <c r="B37" s="59" t="s">
        <v>51</v>
      </c>
      <c r="C37" s="60" t="s">
        <v>64</v>
      </c>
      <c r="D37" s="56">
        <v>20627</v>
      </c>
      <c r="E37" s="56">
        <v>59891</v>
      </c>
      <c r="F37" s="56">
        <v>6559</v>
      </c>
      <c r="G37" s="56">
        <f t="shared" si="1"/>
        <v>87077</v>
      </c>
    </row>
    <row r="38" spans="1:7" ht="12.75">
      <c r="A38" s="113"/>
      <c r="B38" s="59" t="s">
        <v>52</v>
      </c>
      <c r="C38" s="60" t="s">
        <v>64</v>
      </c>
      <c r="D38" s="56">
        <v>62401</v>
      </c>
      <c r="E38" s="56">
        <v>181186</v>
      </c>
      <c r="F38" s="56">
        <v>19842</v>
      </c>
      <c r="G38" s="56">
        <f t="shared" si="1"/>
        <v>263429</v>
      </c>
    </row>
    <row r="39" spans="1:7" ht="38.25">
      <c r="A39" s="113"/>
      <c r="B39" s="59" t="s">
        <v>53</v>
      </c>
      <c r="C39" s="60" t="s">
        <v>65</v>
      </c>
      <c r="D39" s="56">
        <v>1662</v>
      </c>
      <c r="E39" s="56">
        <v>4826</v>
      </c>
      <c r="F39" s="56">
        <v>529</v>
      </c>
      <c r="G39" s="56">
        <f t="shared" si="1"/>
        <v>7017</v>
      </c>
    </row>
    <row r="40" spans="1:7" ht="25.5">
      <c r="A40" s="113"/>
      <c r="B40" s="59" t="s">
        <v>55</v>
      </c>
      <c r="C40" s="60" t="s">
        <v>64</v>
      </c>
      <c r="D40" s="56">
        <v>89406</v>
      </c>
      <c r="E40" s="56">
        <v>259596</v>
      </c>
      <c r="F40" s="56">
        <v>28431</v>
      </c>
      <c r="G40" s="56">
        <f t="shared" si="1"/>
        <v>377433</v>
      </c>
    </row>
    <row r="41" spans="1:7" ht="12.75">
      <c r="A41" s="113"/>
      <c r="B41" s="59" t="s">
        <v>56</v>
      </c>
      <c r="C41" s="60" t="s">
        <v>64</v>
      </c>
      <c r="D41" s="56">
        <v>9824</v>
      </c>
      <c r="E41" s="56">
        <v>28525</v>
      </c>
      <c r="F41" s="56">
        <v>3124</v>
      </c>
      <c r="G41" s="56">
        <f t="shared" si="1"/>
        <v>41473</v>
      </c>
    </row>
    <row r="42" spans="1:7" ht="12.75">
      <c r="A42" s="113"/>
      <c r="B42" s="59" t="s">
        <v>57</v>
      </c>
      <c r="C42" s="60" t="s">
        <v>64</v>
      </c>
      <c r="D42" s="56">
        <v>3346</v>
      </c>
      <c r="E42" s="56">
        <v>9716</v>
      </c>
      <c r="F42" s="56">
        <v>1064</v>
      </c>
      <c r="G42" s="56">
        <f t="shared" si="1"/>
        <v>14126</v>
      </c>
    </row>
    <row r="43" spans="1:7" ht="25.5">
      <c r="A43" s="113"/>
      <c r="B43" s="57" t="s">
        <v>58</v>
      </c>
      <c r="C43" s="54"/>
      <c r="D43" s="56">
        <f>SUM(D44:D50)</f>
        <v>0</v>
      </c>
      <c r="E43" s="56">
        <f>SUM(E44:E50)</f>
        <v>0</v>
      </c>
      <c r="F43" s="56">
        <f>SUM(F44:F50)</f>
        <v>0</v>
      </c>
      <c r="G43" s="56">
        <f t="shared" si="1"/>
        <v>0</v>
      </c>
    </row>
    <row r="44" spans="1:7" ht="23.25" customHeight="1">
      <c r="A44" s="113"/>
      <c r="B44" s="61" t="s">
        <v>59</v>
      </c>
      <c r="C44" s="114" t="s">
        <v>64</v>
      </c>
      <c r="D44" s="112">
        <v>0</v>
      </c>
      <c r="E44" s="112">
        <v>0</v>
      </c>
      <c r="F44" s="112">
        <v>0</v>
      </c>
      <c r="G44" s="112">
        <f>SUM(D44:F45)</f>
        <v>0</v>
      </c>
    </row>
    <row r="45" spans="1:7" ht="25.5">
      <c r="A45" s="113"/>
      <c r="B45" s="62" t="s">
        <v>60</v>
      </c>
      <c r="C45" s="114"/>
      <c r="D45" s="112"/>
      <c r="E45" s="112"/>
      <c r="F45" s="112"/>
      <c r="G45" s="112"/>
    </row>
    <row r="46" spans="1:7" ht="25.5">
      <c r="A46" s="113"/>
      <c r="B46" s="59" t="s">
        <v>61</v>
      </c>
      <c r="C46" s="60" t="s">
        <v>64</v>
      </c>
      <c r="D46" s="56">
        <v>0</v>
      </c>
      <c r="E46" s="56">
        <v>0</v>
      </c>
      <c r="F46" s="56">
        <v>0</v>
      </c>
      <c r="G46" s="56">
        <f>SUM(D46:F46)</f>
        <v>0</v>
      </c>
    </row>
    <row r="47" spans="1:7" ht="29.25" customHeight="1">
      <c r="A47" s="113"/>
      <c r="B47" s="55" t="s">
        <v>25</v>
      </c>
      <c r="C47" s="60" t="s">
        <v>64</v>
      </c>
      <c r="D47" s="56">
        <v>0</v>
      </c>
      <c r="E47" s="56">
        <v>0</v>
      </c>
      <c r="F47" s="56"/>
      <c r="G47" s="56">
        <f>SUM(D47:F47)</f>
        <v>0</v>
      </c>
    </row>
    <row r="48" spans="1:7" ht="12.75">
      <c r="A48" s="113"/>
      <c r="B48" s="68" t="s">
        <v>26</v>
      </c>
      <c r="C48" s="39" t="s">
        <v>64</v>
      </c>
      <c r="D48" s="56">
        <v>0</v>
      </c>
      <c r="E48" s="56">
        <v>0</v>
      </c>
      <c r="F48" s="56"/>
      <c r="G48" s="8"/>
    </row>
    <row r="49" spans="1:7" ht="25.5">
      <c r="A49" s="113"/>
      <c r="B49" s="68" t="s">
        <v>27</v>
      </c>
      <c r="C49" s="39" t="s">
        <v>64</v>
      </c>
      <c r="D49" s="56">
        <v>0</v>
      </c>
      <c r="E49" s="56">
        <v>0</v>
      </c>
      <c r="F49" s="56">
        <v>0</v>
      </c>
      <c r="G49" s="56">
        <f>SUM(D49:F49)</f>
        <v>0</v>
      </c>
    </row>
    <row r="50" spans="1:7" ht="12.75">
      <c r="A50" s="113"/>
      <c r="B50" s="68" t="s">
        <v>28</v>
      </c>
      <c r="C50" s="39" t="s">
        <v>64</v>
      </c>
      <c r="D50" s="56">
        <v>0</v>
      </c>
      <c r="E50" s="56">
        <v>0</v>
      </c>
      <c r="F50" s="56">
        <v>0</v>
      </c>
      <c r="G50" s="56">
        <f>SUM(D50:F50)</f>
        <v>0</v>
      </c>
    </row>
    <row r="51" spans="1:7" ht="38.25">
      <c r="A51" s="113"/>
      <c r="B51" s="55" t="s">
        <v>62</v>
      </c>
      <c r="C51" s="54"/>
      <c r="D51" s="56">
        <f>Tekst152_4+Tekst129_4+Tekst153_4</f>
        <v>262956</v>
      </c>
      <c r="E51" s="56">
        <f>Tekst168_4+Tekst131_4+Tekst169_4</f>
        <v>763512</v>
      </c>
      <c r="F51" s="56">
        <f>F49+Tekst133_4+Tekst186_4</f>
        <v>83619</v>
      </c>
      <c r="G51" s="56">
        <f>SUM(D51:F51)</f>
        <v>1110087</v>
      </c>
    </row>
  </sheetData>
  <sheetProtection/>
  <mergeCells count="15">
    <mergeCell ref="A1:A7"/>
    <mergeCell ref="B1:B7"/>
    <mergeCell ref="D1:G3"/>
    <mergeCell ref="A10:A28"/>
    <mergeCell ref="C21:C22"/>
    <mergeCell ref="D21:D22"/>
    <mergeCell ref="E21:E22"/>
    <mergeCell ref="F21:F22"/>
    <mergeCell ref="G21:G22"/>
    <mergeCell ref="F44:F45"/>
    <mergeCell ref="G44:G45"/>
    <mergeCell ref="A33:A51"/>
    <mergeCell ref="C44:C45"/>
    <mergeCell ref="D44:D45"/>
    <mergeCell ref="E44:E45"/>
  </mergeCells>
  <printOptions/>
  <pageMargins left="0.75" right="0.75" top="1" bottom="1" header="0.5" footer="0.5118055555555555"/>
  <pageSetup fitToHeight="1" fitToWidth="1" horizontalDpi="300" verticalDpi="300" orientation="portrait" paperSize="9" scale="66" r:id="rId1"/>
  <headerFooter alignWithMargins="0">
    <oddHeader>&amp;CTabela D: Alokacja niezbędnych przychodów według taryfowych grup odbiorców usług w roku obowiązywania nowych taryf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4">
      <selection activeCell="G12" sqref="G12"/>
    </sheetView>
  </sheetViews>
  <sheetFormatPr defaultColWidth="9.00390625" defaultRowHeight="12.75"/>
  <cols>
    <col min="1" max="1" width="3.75390625" style="0" customWidth="1"/>
    <col min="3" max="3" width="18.75390625" style="0" customWidth="1"/>
    <col min="4" max="4" width="6.25390625" style="0" customWidth="1"/>
    <col min="5" max="5" width="14.625" style="0" customWidth="1"/>
    <col min="6" max="7" width="11.875" style="0" customWidth="1"/>
    <col min="8" max="8" width="14.625" style="0" customWidth="1"/>
  </cols>
  <sheetData>
    <row r="1" spans="1:8" ht="12.75" customHeight="1">
      <c r="A1" s="110" t="s">
        <v>0</v>
      </c>
      <c r="B1" s="47" t="s">
        <v>66</v>
      </c>
      <c r="C1" s="110" t="s">
        <v>1</v>
      </c>
      <c r="D1" s="110" t="s">
        <v>67</v>
      </c>
      <c r="E1" s="110" t="s">
        <v>36</v>
      </c>
      <c r="F1" s="110"/>
      <c r="G1" s="110"/>
      <c r="H1" s="110"/>
    </row>
    <row r="2" spans="1:8" ht="63.75">
      <c r="A2" s="110"/>
      <c r="B2" s="69" t="s">
        <v>68</v>
      </c>
      <c r="C2" s="110"/>
      <c r="D2" s="110"/>
      <c r="E2" s="26" t="s">
        <v>125</v>
      </c>
      <c r="F2" s="26" t="s">
        <v>126</v>
      </c>
      <c r="G2" s="26"/>
      <c r="H2" s="26" t="s">
        <v>43</v>
      </c>
    </row>
    <row r="3" spans="1:8" ht="12.75">
      <c r="A3" s="26">
        <v>0</v>
      </c>
      <c r="B3" s="26">
        <v>1</v>
      </c>
      <c r="C3" s="26">
        <v>2</v>
      </c>
      <c r="D3" s="26">
        <v>3</v>
      </c>
      <c r="E3" s="26">
        <v>4</v>
      </c>
      <c r="F3" s="26">
        <v>5</v>
      </c>
      <c r="G3" s="26">
        <v>6</v>
      </c>
      <c r="H3" s="26">
        <v>7</v>
      </c>
    </row>
    <row r="4" spans="1:8" ht="12.75" customHeight="1">
      <c r="A4" s="117">
        <v>1</v>
      </c>
      <c r="B4" s="117" t="s">
        <v>49</v>
      </c>
      <c r="C4" s="114" t="s">
        <v>69</v>
      </c>
      <c r="D4" s="118" t="s">
        <v>70</v>
      </c>
      <c r="E4" s="119">
        <v>133920</v>
      </c>
      <c r="F4" s="119">
        <v>44800</v>
      </c>
      <c r="G4" s="119"/>
      <c r="H4" s="119">
        <f>SUM(E4:G5)</f>
        <v>178720</v>
      </c>
    </row>
    <row r="5" spans="1:8" ht="12.75">
      <c r="A5" s="117"/>
      <c r="B5" s="117"/>
      <c r="C5" s="114"/>
      <c r="D5" s="118"/>
      <c r="E5" s="119"/>
      <c r="F5" s="119"/>
      <c r="G5" s="119"/>
      <c r="H5" s="119"/>
    </row>
    <row r="6" spans="1:8" ht="19.5" customHeight="1">
      <c r="A6" s="117"/>
      <c r="B6" s="117"/>
      <c r="C6" s="114"/>
      <c r="D6" s="72" t="s">
        <v>71</v>
      </c>
      <c r="E6" s="73">
        <f>Tekst272_5/Tekst275_5</f>
        <v>0.7493285586392122</v>
      </c>
      <c r="F6" s="73">
        <f>Tekst273_5/Tekst275_5</f>
        <v>0.25067144136078784</v>
      </c>
      <c r="G6" s="73">
        <f>Tekst274_5/Tekst275_5</f>
        <v>0</v>
      </c>
      <c r="H6" s="74">
        <f>SUM(E6:G6)</f>
        <v>1</v>
      </c>
    </row>
    <row r="7" spans="1:8" ht="23.25" customHeight="1">
      <c r="A7" s="117">
        <v>2</v>
      </c>
      <c r="B7" s="117" t="s">
        <v>54</v>
      </c>
      <c r="C7" s="75" t="s">
        <v>72</v>
      </c>
      <c r="D7" s="118" t="s">
        <v>46</v>
      </c>
      <c r="E7" s="115">
        <v>7875</v>
      </c>
      <c r="F7" s="115">
        <v>3254</v>
      </c>
      <c r="G7" s="115"/>
      <c r="H7" s="115">
        <f>SUM(E7:G8)</f>
        <v>11129</v>
      </c>
    </row>
    <row r="8" spans="1:8" ht="25.5">
      <c r="A8" s="117"/>
      <c r="B8" s="117"/>
      <c r="C8" s="76" t="s">
        <v>73</v>
      </c>
      <c r="D8" s="118"/>
      <c r="E8" s="115"/>
      <c r="F8" s="115"/>
      <c r="G8" s="115"/>
      <c r="H8" s="115"/>
    </row>
    <row r="9" spans="1:8" ht="27" customHeight="1">
      <c r="A9" s="117"/>
      <c r="B9" s="117"/>
      <c r="C9" s="76" t="s">
        <v>74</v>
      </c>
      <c r="D9" s="77" t="s">
        <v>71</v>
      </c>
      <c r="E9" s="73">
        <f>Tekst279_5/Tekst276_5</f>
        <v>0.7076107466978165</v>
      </c>
      <c r="F9" s="73">
        <f>Tekst278_5/Tekst276_5</f>
        <v>0.29238925330218346</v>
      </c>
      <c r="G9" s="73">
        <f>Tekst277_5/Tekst276_5</f>
        <v>0</v>
      </c>
      <c r="H9" s="73">
        <f>SUM(E9:G9)</f>
        <v>1</v>
      </c>
    </row>
    <row r="10" spans="1:8" ht="1.5" customHeight="1">
      <c r="A10" s="117"/>
      <c r="B10" s="117"/>
      <c r="C10" s="78"/>
      <c r="D10" s="67"/>
      <c r="E10" s="6"/>
      <c r="F10" s="6"/>
      <c r="G10" s="6"/>
      <c r="H10" s="6"/>
    </row>
    <row r="11" spans="1:8" ht="55.5" customHeight="1">
      <c r="A11" s="77"/>
      <c r="B11" s="77"/>
      <c r="C11" s="76"/>
      <c r="D11" s="79"/>
      <c r="E11" s="26" t="s">
        <v>127</v>
      </c>
      <c r="F11" s="26" t="s">
        <v>75</v>
      </c>
      <c r="G11" s="26" t="s">
        <v>128</v>
      </c>
      <c r="H11" s="4"/>
    </row>
    <row r="12" spans="1:8" ht="23.25" customHeight="1">
      <c r="A12" s="117">
        <v>3</v>
      </c>
      <c r="B12" s="117" t="s">
        <v>64</v>
      </c>
      <c r="C12" s="75" t="s">
        <v>76</v>
      </c>
      <c r="D12" s="70" t="s">
        <v>70</v>
      </c>
      <c r="E12" s="71">
        <v>59983</v>
      </c>
      <c r="F12" s="71">
        <v>129106</v>
      </c>
      <c r="G12" s="71">
        <v>16162</v>
      </c>
      <c r="H12" s="71">
        <f>SUM(E12:G12)</f>
        <v>205251</v>
      </c>
    </row>
    <row r="13" spans="1:8" ht="12.75" customHeight="1">
      <c r="A13" s="117"/>
      <c r="B13" s="117"/>
      <c r="C13" s="76" t="s">
        <v>77</v>
      </c>
      <c r="D13" s="120" t="s">
        <v>71</v>
      </c>
      <c r="E13" s="116">
        <f>Tekst280_5/Tekst283_5</f>
        <v>0.29224218152408515</v>
      </c>
      <c r="F13" s="116">
        <f>Tekst281_5/Tekst283_5</f>
        <v>0.6290152057724445</v>
      </c>
      <c r="G13" s="116">
        <f>Tekst282_5/Tekst283_5</f>
        <v>0.07874261270347038</v>
      </c>
      <c r="H13" s="116">
        <f>SUM(E13:G14)</f>
        <v>1</v>
      </c>
    </row>
    <row r="14" spans="1:8" ht="12.75">
      <c r="A14" s="117"/>
      <c r="B14" s="117"/>
      <c r="C14" s="67"/>
      <c r="D14" s="120"/>
      <c r="E14" s="116"/>
      <c r="F14" s="116"/>
      <c r="G14" s="116"/>
      <c r="H14" s="116"/>
    </row>
    <row r="15" spans="1:8" ht="23.25" customHeight="1">
      <c r="A15" s="117">
        <v>4</v>
      </c>
      <c r="B15" s="117" t="s">
        <v>65</v>
      </c>
      <c r="C15" s="75" t="s">
        <v>72</v>
      </c>
      <c r="D15" s="118" t="s">
        <v>46</v>
      </c>
      <c r="E15" s="115">
        <v>1662</v>
      </c>
      <c r="F15" s="115">
        <v>4826</v>
      </c>
      <c r="G15" s="115">
        <v>529</v>
      </c>
      <c r="H15" s="115">
        <f>SUM(E15:G16)</f>
        <v>7017</v>
      </c>
    </row>
    <row r="16" spans="1:8" ht="30" customHeight="1">
      <c r="A16" s="117"/>
      <c r="B16" s="117"/>
      <c r="C16" s="76" t="s">
        <v>73</v>
      </c>
      <c r="D16" s="118"/>
      <c r="E16" s="115"/>
      <c r="F16" s="115"/>
      <c r="G16" s="115"/>
      <c r="H16" s="115"/>
    </row>
    <row r="17" spans="1:8" ht="39.75" customHeight="1">
      <c r="A17" s="117"/>
      <c r="B17" s="117"/>
      <c r="C17" s="76" t="s">
        <v>78</v>
      </c>
      <c r="D17" s="77" t="s">
        <v>71</v>
      </c>
      <c r="E17" s="80">
        <f>Tekst287_5/Tekst284_5</f>
        <v>0.23685335613510047</v>
      </c>
      <c r="F17" s="80">
        <f>Tekst286_5/Tekst284_5</f>
        <v>0.6877583012683482</v>
      </c>
      <c r="G17" s="80">
        <f>Tekst285_5/Tekst284_5</f>
        <v>0.07538834259655124</v>
      </c>
      <c r="H17" s="80">
        <f>SUM(E17:G17)</f>
        <v>1</v>
      </c>
    </row>
    <row r="18" spans="1:8" ht="1.5" customHeight="1">
      <c r="A18" s="117"/>
      <c r="B18" s="117"/>
      <c r="C18" s="78"/>
      <c r="D18" s="67"/>
      <c r="E18" s="67"/>
      <c r="F18" s="67"/>
      <c r="G18" s="67"/>
      <c r="H18" s="67"/>
    </row>
  </sheetData>
  <sheetProtection/>
  <mergeCells count="33">
    <mergeCell ref="A1:A2"/>
    <mergeCell ref="C1:C2"/>
    <mergeCell ref="D1:D2"/>
    <mergeCell ref="E1:H1"/>
    <mergeCell ref="H4:H5"/>
    <mergeCell ref="A7:A10"/>
    <mergeCell ref="B7:B10"/>
    <mergeCell ref="D7:D8"/>
    <mergeCell ref="E7:E8"/>
    <mergeCell ref="F7:F8"/>
    <mergeCell ref="G7:G8"/>
    <mergeCell ref="H7:H8"/>
    <mergeCell ref="F4:F5"/>
    <mergeCell ref="G4:G5"/>
    <mergeCell ref="E4:E5"/>
    <mergeCell ref="A12:A14"/>
    <mergeCell ref="B12:B14"/>
    <mergeCell ref="D13:D14"/>
    <mergeCell ref="E13:E14"/>
    <mergeCell ref="D4:D5"/>
    <mergeCell ref="A4:A6"/>
    <mergeCell ref="B4:B6"/>
    <mergeCell ref="C4:C6"/>
    <mergeCell ref="H15:H16"/>
    <mergeCell ref="G13:G14"/>
    <mergeCell ref="H13:H14"/>
    <mergeCell ref="A15:A18"/>
    <mergeCell ref="B15:B18"/>
    <mergeCell ref="D15:D16"/>
    <mergeCell ref="E15:E16"/>
    <mergeCell ref="F15:F16"/>
    <mergeCell ref="G15:G16"/>
    <mergeCell ref="F13:F14"/>
  </mergeCells>
  <printOptions/>
  <pageMargins left="0.75" right="0.75" top="1" bottom="1" header="0.5" footer="0.5118055555555555"/>
  <pageSetup horizontalDpi="300" verticalDpi="300" orientation="landscape" paperSize="9" r:id="rId1"/>
  <headerFooter alignWithMargins="0">
    <oddHeader>&amp;CTabela E: Współczynniki alokacji w roku obowiązywania nowych taryf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8">
      <selection activeCell="C20" sqref="C20"/>
    </sheetView>
  </sheetViews>
  <sheetFormatPr defaultColWidth="9.00390625" defaultRowHeight="12.75"/>
  <cols>
    <col min="1" max="1" width="3.75390625" style="0" customWidth="1"/>
    <col min="2" max="2" width="22.00390625" style="0" customWidth="1"/>
    <col min="3" max="3" width="13.625" style="0" customWidth="1"/>
    <col min="4" max="4" width="11.875" style="0" customWidth="1"/>
    <col min="5" max="5" width="12.375" style="0" customWidth="1"/>
    <col min="7" max="7" width="13.875" style="0" customWidth="1"/>
  </cols>
  <sheetData>
    <row r="1" spans="1:5" ht="25.5" customHeight="1">
      <c r="A1" s="110" t="s">
        <v>0</v>
      </c>
      <c r="B1" s="110" t="s">
        <v>1</v>
      </c>
      <c r="C1" s="124" t="s">
        <v>36</v>
      </c>
      <c r="D1" s="124"/>
      <c r="E1" s="124"/>
    </row>
    <row r="2" spans="1:5" ht="63.75">
      <c r="A2" s="110"/>
      <c r="B2" s="110"/>
      <c r="C2" s="26" t="s">
        <v>125</v>
      </c>
      <c r="D2" s="26" t="s">
        <v>129</v>
      </c>
      <c r="E2" s="26"/>
    </row>
    <row r="3" spans="1:5" ht="12.75">
      <c r="A3" s="26">
        <v>0</v>
      </c>
      <c r="B3" s="26">
        <v>1</v>
      </c>
      <c r="C3" s="26">
        <v>2</v>
      </c>
      <c r="D3" s="26">
        <v>3</v>
      </c>
      <c r="E3" s="26">
        <v>4</v>
      </c>
    </row>
    <row r="4" spans="1:5" ht="12.75">
      <c r="A4" s="81">
        <v>1</v>
      </c>
      <c r="B4" s="82" t="s">
        <v>21</v>
      </c>
      <c r="C4" s="83"/>
      <c r="D4" s="83"/>
      <c r="E4" s="83"/>
    </row>
    <row r="5" spans="1:5" ht="38.25">
      <c r="A5" s="113"/>
      <c r="B5" s="33" t="s">
        <v>79</v>
      </c>
      <c r="C5" s="122">
        <f>Tekst290_6</f>
        <v>400171</v>
      </c>
      <c r="D5" s="122">
        <f>Tekst293_6</f>
        <v>165352</v>
      </c>
      <c r="E5" s="122"/>
    </row>
    <row r="6" spans="1:5" ht="12.75">
      <c r="A6" s="113"/>
      <c r="B6" s="84" t="s">
        <v>80</v>
      </c>
      <c r="C6" s="122"/>
      <c r="D6" s="122"/>
      <c r="E6" s="122"/>
    </row>
    <row r="7" spans="1:7" ht="12.75">
      <c r="A7" s="113"/>
      <c r="B7" s="30" t="s">
        <v>81</v>
      </c>
      <c r="C7" s="8"/>
      <c r="D7" s="8"/>
      <c r="E7" s="8"/>
      <c r="G7" s="85"/>
    </row>
    <row r="8" spans="1:5" ht="38.25">
      <c r="A8" s="113"/>
      <c r="B8" s="35" t="s">
        <v>82</v>
      </c>
      <c r="C8" s="123">
        <v>400171</v>
      </c>
      <c r="D8" s="123">
        <v>165352</v>
      </c>
      <c r="E8" s="123"/>
    </row>
    <row r="9" spans="1:5" ht="25.5">
      <c r="A9" s="113"/>
      <c r="B9" s="87" t="s">
        <v>83</v>
      </c>
      <c r="C9" s="123"/>
      <c r="D9" s="123"/>
      <c r="E9" s="123"/>
    </row>
    <row r="10" spans="1:5" ht="12.75">
      <c r="A10" s="113"/>
      <c r="B10" s="88" t="s">
        <v>84</v>
      </c>
      <c r="C10" s="123"/>
      <c r="D10" s="123"/>
      <c r="E10" s="123"/>
    </row>
    <row r="11" spans="1:5" ht="38.25">
      <c r="A11" s="113"/>
      <c r="B11" s="35" t="s">
        <v>85</v>
      </c>
      <c r="C11" s="111">
        <v>0</v>
      </c>
      <c r="D11" s="111">
        <v>0</v>
      </c>
      <c r="E11" s="111">
        <v>0</v>
      </c>
    </row>
    <row r="12" spans="1:5" ht="38.25">
      <c r="A12" s="113"/>
      <c r="B12" s="87" t="s">
        <v>86</v>
      </c>
      <c r="C12" s="111"/>
      <c r="D12" s="111"/>
      <c r="E12" s="111"/>
    </row>
    <row r="13" spans="1:5" ht="12.75">
      <c r="A13" s="113"/>
      <c r="B13" s="88" t="s">
        <v>87</v>
      </c>
      <c r="C13" s="111"/>
      <c r="D13" s="111"/>
      <c r="E13" s="111"/>
    </row>
    <row r="14" spans="1:5" ht="27">
      <c r="A14" s="113"/>
      <c r="B14" s="30" t="s">
        <v>88</v>
      </c>
      <c r="C14" s="89">
        <v>133920</v>
      </c>
      <c r="D14" s="8">
        <v>44800</v>
      </c>
      <c r="E14" s="8"/>
    </row>
    <row r="15" spans="1:5" ht="12.75">
      <c r="A15" s="113"/>
      <c r="B15" s="30" t="s">
        <v>89</v>
      </c>
      <c r="C15" s="8"/>
      <c r="D15" s="8"/>
      <c r="E15" s="8"/>
    </row>
    <row r="16" spans="1:5" ht="28.5">
      <c r="A16" s="113"/>
      <c r="B16" s="30" t="s">
        <v>90</v>
      </c>
      <c r="C16" s="90">
        <f>Tekst290_6/Tekst298_6</f>
        <v>2.988134707287933</v>
      </c>
      <c r="D16" s="90">
        <f>Tekst293_6/Tekst299_6</f>
        <v>3.690892857142857</v>
      </c>
      <c r="E16" s="90">
        <v>0</v>
      </c>
    </row>
    <row r="17" spans="1:5" ht="25.5">
      <c r="A17" s="113"/>
      <c r="B17" s="33" t="s">
        <v>91</v>
      </c>
      <c r="C17" s="111">
        <v>0</v>
      </c>
      <c r="D17" s="111">
        <v>0</v>
      </c>
      <c r="E17" s="91"/>
    </row>
    <row r="18" spans="1:5" ht="14.25">
      <c r="A18" s="113"/>
      <c r="B18" s="84" t="s">
        <v>92</v>
      </c>
      <c r="C18" s="111"/>
      <c r="D18" s="111"/>
      <c r="E18" s="6">
        <v>0</v>
      </c>
    </row>
    <row r="19" spans="1:5" ht="51">
      <c r="A19" s="67"/>
      <c r="B19" s="84"/>
      <c r="C19" s="26" t="s">
        <v>127</v>
      </c>
      <c r="D19" s="26" t="s">
        <v>130</v>
      </c>
      <c r="E19" s="26" t="s">
        <v>128</v>
      </c>
    </row>
    <row r="20" spans="1:5" ht="12.75">
      <c r="A20" s="81">
        <v>2</v>
      </c>
      <c r="B20" s="82" t="s">
        <v>30</v>
      </c>
      <c r="C20" s="83"/>
      <c r="D20" s="83"/>
      <c r="E20" s="83"/>
    </row>
    <row r="21" spans="1:5" ht="38.25">
      <c r="A21" s="113"/>
      <c r="B21" s="33" t="s">
        <v>79</v>
      </c>
      <c r="C21" s="122">
        <v>262956</v>
      </c>
      <c r="D21" s="122">
        <v>763512</v>
      </c>
      <c r="E21" s="122">
        <v>83619</v>
      </c>
    </row>
    <row r="22" spans="1:5" ht="12.75">
      <c r="A22" s="113"/>
      <c r="B22" s="84" t="s">
        <v>80</v>
      </c>
      <c r="C22" s="122"/>
      <c r="D22" s="122"/>
      <c r="E22" s="122"/>
    </row>
    <row r="23" spans="1:5" ht="27">
      <c r="A23" s="113"/>
      <c r="B23" s="30" t="s">
        <v>94</v>
      </c>
      <c r="C23" s="91">
        <v>59983</v>
      </c>
      <c r="D23" s="91">
        <v>129106</v>
      </c>
      <c r="E23" s="91">
        <v>16162</v>
      </c>
    </row>
    <row r="24" spans="1:5" ht="38.25">
      <c r="A24" s="113"/>
      <c r="B24" s="92" t="s">
        <v>95</v>
      </c>
      <c r="C24" s="121">
        <f>Tekst310_6/Tekst311_6</f>
        <v>4.383842088591767</v>
      </c>
      <c r="D24" s="121">
        <f>Tekst314_6/Tekst315_6</f>
        <v>5.913838241445014</v>
      </c>
      <c r="E24" s="121">
        <f>E21/E23</f>
        <v>5.173802747184754</v>
      </c>
    </row>
    <row r="25" spans="1:5" ht="14.25">
      <c r="A25" s="113"/>
      <c r="B25" s="93" t="s">
        <v>96</v>
      </c>
      <c r="C25" s="121"/>
      <c r="D25" s="121"/>
      <c r="E25" s="121"/>
    </row>
    <row r="26" ht="0.75" customHeight="1">
      <c r="A26" s="113"/>
    </row>
  </sheetData>
  <sheetProtection/>
  <mergeCells count="22">
    <mergeCell ref="A1:A2"/>
    <mergeCell ref="B1:B2"/>
    <mergeCell ref="C1:E1"/>
    <mergeCell ref="A5:A18"/>
    <mergeCell ref="C5:C6"/>
    <mergeCell ref="D5:D6"/>
    <mergeCell ref="E5:E6"/>
    <mergeCell ref="C8:C10"/>
    <mergeCell ref="D8:D10"/>
    <mergeCell ref="E8:E10"/>
    <mergeCell ref="C11:C13"/>
    <mergeCell ref="D11:D13"/>
    <mergeCell ref="E11:E13"/>
    <mergeCell ref="A21:A26"/>
    <mergeCell ref="C21:C22"/>
    <mergeCell ref="D21:D22"/>
    <mergeCell ref="E21:E22"/>
    <mergeCell ref="C24:C25"/>
    <mergeCell ref="D24:D25"/>
    <mergeCell ref="E24:E25"/>
    <mergeCell ref="C17:C18"/>
    <mergeCell ref="D17:D18"/>
  </mergeCells>
  <printOptions/>
  <pageMargins left="0.75" right="0.75" top="1" bottom="1" header="0.5" footer="0.5118055555555555"/>
  <pageSetup fitToHeight="1" fitToWidth="1" horizontalDpi="300" verticalDpi="300" orientation="portrait" paperSize="9" r:id="rId1"/>
  <headerFooter alignWithMargins="0">
    <oddHeader>&amp;CTabela F: Kalkulacja cen i stawek opłat za wodę i odprowadzanie ścieków metodą alokacji prostej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3">
      <selection activeCell="C1" sqref="C1:F1"/>
    </sheetView>
  </sheetViews>
  <sheetFormatPr defaultColWidth="9.00390625" defaultRowHeight="12.75"/>
  <cols>
    <col min="1" max="1" width="4.00390625" style="0" customWidth="1"/>
    <col min="2" max="2" width="19.625" style="0" customWidth="1"/>
    <col min="3" max="3" width="13.625" style="0" customWidth="1"/>
    <col min="4" max="5" width="11.875" style="0" customWidth="1"/>
    <col min="6" max="6" width="13.625" style="0" customWidth="1"/>
  </cols>
  <sheetData>
    <row r="1" spans="1:6" ht="25.5" customHeight="1">
      <c r="A1" s="110" t="s">
        <v>0</v>
      </c>
      <c r="B1" s="110" t="s">
        <v>1</v>
      </c>
      <c r="C1" s="110" t="s">
        <v>36</v>
      </c>
      <c r="D1" s="110"/>
      <c r="E1" s="110"/>
      <c r="F1" s="110"/>
    </row>
    <row r="2" spans="1:6" ht="63.75">
      <c r="A2" s="110"/>
      <c r="B2" s="110"/>
      <c r="C2" s="26" t="s">
        <v>125</v>
      </c>
      <c r="D2" s="26" t="s">
        <v>126</v>
      </c>
      <c r="E2" s="26"/>
      <c r="F2" s="26" t="s">
        <v>43</v>
      </c>
    </row>
    <row r="3" spans="1:6" ht="12.75">
      <c r="A3" s="26">
        <v>0</v>
      </c>
      <c r="B3" s="26">
        <v>1</v>
      </c>
      <c r="C3" s="26">
        <v>2</v>
      </c>
      <c r="D3" s="26">
        <v>3</v>
      </c>
      <c r="E3" s="26">
        <v>4</v>
      </c>
      <c r="F3" s="26">
        <v>5</v>
      </c>
    </row>
    <row r="4" spans="1:6" ht="25.5">
      <c r="A4" s="27">
        <v>1</v>
      </c>
      <c r="B4" s="28" t="s">
        <v>21</v>
      </c>
      <c r="C4" s="83"/>
      <c r="D4" s="83"/>
      <c r="E4" s="83"/>
      <c r="F4" s="83"/>
    </row>
    <row r="5" spans="1:6" ht="27">
      <c r="A5" s="111"/>
      <c r="B5" s="30" t="s">
        <v>97</v>
      </c>
      <c r="C5" s="8">
        <v>133920</v>
      </c>
      <c r="D5" s="8">
        <v>44800</v>
      </c>
      <c r="E5" s="8"/>
      <c r="F5" s="8">
        <f>SUM(C5:E5)</f>
        <v>178720</v>
      </c>
    </row>
    <row r="6" spans="1:6" ht="28.5">
      <c r="A6" s="111"/>
      <c r="B6" s="30" t="s">
        <v>98</v>
      </c>
      <c r="C6" s="90">
        <v>2.99</v>
      </c>
      <c r="D6" s="8">
        <v>3.69</v>
      </c>
      <c r="E6" s="90"/>
      <c r="F6" s="8"/>
    </row>
    <row r="7" spans="1:6" ht="25.5">
      <c r="A7" s="111"/>
      <c r="B7" s="30" t="s">
        <v>99</v>
      </c>
      <c r="C7" s="8"/>
      <c r="D7" s="8"/>
      <c r="E7" s="8"/>
      <c r="F7" s="8"/>
    </row>
    <row r="8" spans="1:6" ht="25.5">
      <c r="A8" s="111"/>
      <c r="B8" s="33" t="s">
        <v>100</v>
      </c>
      <c r="C8" s="123">
        <v>400171</v>
      </c>
      <c r="D8" s="123">
        <v>165352</v>
      </c>
      <c r="E8" s="123"/>
      <c r="F8" s="123">
        <f>SUM(C8:E9)</f>
        <v>565523</v>
      </c>
    </row>
    <row r="9" spans="1:9" ht="25.5">
      <c r="A9" s="111"/>
      <c r="B9" s="84" t="s">
        <v>101</v>
      </c>
      <c r="C9" s="123"/>
      <c r="D9" s="123"/>
      <c r="E9" s="123"/>
      <c r="F9" s="123"/>
      <c r="I9">
        <f>Tekst322_7*Tekst329_7</f>
        <v>400420.80000000005</v>
      </c>
    </row>
    <row r="10" spans="1:6" ht="38.25">
      <c r="A10" s="111"/>
      <c r="B10" s="33" t="s">
        <v>102</v>
      </c>
      <c r="C10" s="123">
        <v>0</v>
      </c>
      <c r="D10" s="123">
        <v>0</v>
      </c>
      <c r="E10" s="123"/>
      <c r="F10" s="123">
        <f>SUM(C10:E11)</f>
        <v>0</v>
      </c>
    </row>
    <row r="11" spans="1:6" ht="38.25">
      <c r="A11" s="111"/>
      <c r="B11" s="84" t="s">
        <v>103</v>
      </c>
      <c r="C11" s="123"/>
      <c r="D11" s="123"/>
      <c r="E11" s="123"/>
      <c r="F11" s="123"/>
    </row>
    <row r="12" spans="1:6" ht="25.5">
      <c r="A12" s="111"/>
      <c r="B12" s="39" t="s">
        <v>104</v>
      </c>
      <c r="C12" s="86">
        <f>Tekst337_7+Tekst338_7</f>
        <v>400171</v>
      </c>
      <c r="D12" s="86">
        <f>Tekst336_7+Tekst339_7</f>
        <v>165352</v>
      </c>
      <c r="E12" s="86">
        <f>Tekst335_7+Tekst340_7</f>
        <v>0</v>
      </c>
      <c r="F12" s="86">
        <f>Tekst334_7+Tekst341_7</f>
        <v>565523</v>
      </c>
    </row>
    <row r="13" spans="1:6" ht="51">
      <c r="A13" s="6"/>
      <c r="B13" s="39"/>
      <c r="C13" s="26" t="s">
        <v>127</v>
      </c>
      <c r="D13" s="26" t="s">
        <v>93</v>
      </c>
      <c r="E13" s="26" t="s">
        <v>128</v>
      </c>
      <c r="F13" s="26" t="s">
        <v>43</v>
      </c>
    </row>
    <row r="14" spans="1:6" ht="25.5">
      <c r="A14" s="27">
        <v>2</v>
      </c>
      <c r="B14" s="28" t="s">
        <v>30</v>
      </c>
      <c r="C14" s="83"/>
      <c r="D14" s="83"/>
      <c r="E14" s="83"/>
      <c r="F14" s="83"/>
    </row>
    <row r="15" spans="1:6" ht="25.5">
      <c r="A15" s="111"/>
      <c r="B15" s="33" t="s">
        <v>105</v>
      </c>
      <c r="C15" s="111">
        <v>59983</v>
      </c>
      <c r="D15" s="111">
        <v>129106</v>
      </c>
      <c r="E15" s="111">
        <v>16162</v>
      </c>
      <c r="F15" s="111">
        <f>SUM(C15:E16)</f>
        <v>205251</v>
      </c>
    </row>
    <row r="16" spans="1:6" ht="14.25">
      <c r="A16" s="111"/>
      <c r="B16" s="84" t="s">
        <v>106</v>
      </c>
      <c r="C16" s="111"/>
      <c r="D16" s="111"/>
      <c r="E16" s="111"/>
      <c r="F16" s="111"/>
    </row>
    <row r="17" spans="1:6" ht="25.5">
      <c r="A17" s="111"/>
      <c r="B17" s="33" t="s">
        <v>107</v>
      </c>
      <c r="C17" s="111">
        <v>4.38</v>
      </c>
      <c r="D17" s="111">
        <v>5.91</v>
      </c>
      <c r="E17" s="111">
        <v>5.17</v>
      </c>
      <c r="F17" s="111"/>
    </row>
    <row r="18" spans="1:6" ht="14.25">
      <c r="A18" s="111"/>
      <c r="B18" s="84" t="s">
        <v>108</v>
      </c>
      <c r="C18" s="111"/>
      <c r="D18" s="111"/>
      <c r="E18" s="111"/>
      <c r="F18" s="111"/>
    </row>
    <row r="19" spans="1:6" ht="25.5">
      <c r="A19" s="111"/>
      <c r="B19" s="30" t="s">
        <v>99</v>
      </c>
      <c r="C19" s="8">
        <v>0</v>
      </c>
      <c r="D19" s="8">
        <v>0</v>
      </c>
      <c r="E19" s="8">
        <v>0</v>
      </c>
      <c r="F19" s="8">
        <v>0</v>
      </c>
    </row>
    <row r="20" spans="1:6" ht="25.5">
      <c r="A20" s="111"/>
      <c r="B20" s="33" t="s">
        <v>109</v>
      </c>
      <c r="C20" s="123">
        <v>262956</v>
      </c>
      <c r="D20" s="123">
        <v>763512</v>
      </c>
      <c r="E20" s="123">
        <v>83619</v>
      </c>
      <c r="F20" s="123">
        <f>SUM(C20:E22)</f>
        <v>1110087</v>
      </c>
    </row>
    <row r="21" spans="1:6" ht="25.5">
      <c r="A21" s="111"/>
      <c r="B21" s="94" t="s">
        <v>110</v>
      </c>
      <c r="C21" s="123"/>
      <c r="D21" s="123"/>
      <c r="E21" s="123"/>
      <c r="F21" s="123"/>
    </row>
    <row r="22" spans="1:6" ht="12.75">
      <c r="A22" s="111"/>
      <c r="B22" s="84" t="s">
        <v>80</v>
      </c>
      <c r="C22" s="123"/>
      <c r="D22" s="123"/>
      <c r="E22" s="123"/>
      <c r="F22" s="123"/>
    </row>
    <row r="23" spans="1:6" ht="38.25">
      <c r="A23" s="111"/>
      <c r="B23" s="33" t="s">
        <v>102</v>
      </c>
      <c r="C23" s="111">
        <v>0</v>
      </c>
      <c r="D23" s="111">
        <v>0</v>
      </c>
      <c r="E23" s="111">
        <v>0</v>
      </c>
      <c r="F23" s="111">
        <v>0</v>
      </c>
    </row>
    <row r="24" spans="1:6" ht="38.25">
      <c r="A24" s="111"/>
      <c r="B24" s="84" t="s">
        <v>103</v>
      </c>
      <c r="C24" s="111"/>
      <c r="D24" s="111"/>
      <c r="E24" s="111"/>
      <c r="F24" s="111"/>
    </row>
    <row r="25" spans="1:6" ht="25.5">
      <c r="A25" s="111"/>
      <c r="B25" s="39" t="s">
        <v>104</v>
      </c>
      <c r="C25" s="86">
        <f>Tekst353_7</f>
        <v>262956</v>
      </c>
      <c r="D25" s="86">
        <f>Tekst352_7</f>
        <v>763512</v>
      </c>
      <c r="E25" s="86">
        <f>Tekst364_7</f>
        <v>83619</v>
      </c>
      <c r="F25" s="86">
        <f>Tekst365_7</f>
        <v>1110087</v>
      </c>
    </row>
  </sheetData>
  <sheetProtection/>
  <mergeCells count="29">
    <mergeCell ref="A1:A2"/>
    <mergeCell ref="B1:B2"/>
    <mergeCell ref="C1:F1"/>
    <mergeCell ref="A5:A12"/>
    <mergeCell ref="C8:C9"/>
    <mergeCell ref="D8:D9"/>
    <mergeCell ref="E8:E9"/>
    <mergeCell ref="F8:F9"/>
    <mergeCell ref="C10:C11"/>
    <mergeCell ref="D10:D11"/>
    <mergeCell ref="E10:E11"/>
    <mergeCell ref="F10:F11"/>
    <mergeCell ref="A15:A25"/>
    <mergeCell ref="C15:C16"/>
    <mergeCell ref="D15:D16"/>
    <mergeCell ref="E15:E16"/>
    <mergeCell ref="C20:C22"/>
    <mergeCell ref="D20:D22"/>
    <mergeCell ref="E20:E22"/>
    <mergeCell ref="F15:F16"/>
    <mergeCell ref="C17:C18"/>
    <mergeCell ref="D17:D18"/>
    <mergeCell ref="E17:E18"/>
    <mergeCell ref="F17:F18"/>
    <mergeCell ref="F20:F22"/>
    <mergeCell ref="C23:C24"/>
    <mergeCell ref="D23:D24"/>
    <mergeCell ref="E23:E24"/>
    <mergeCell ref="F23:F24"/>
  </mergeCells>
  <printOptions/>
  <pageMargins left="0.75" right="0.75" top="1" bottom="1" header="0.5" footer="0.5118055555555555"/>
  <pageSetup fitToHeight="1" fitToWidth="1" horizontalDpi="300" verticalDpi="300" orientation="portrait" paperSize="9" r:id="rId1"/>
  <headerFooter alignWithMargins="0">
    <oddHeader>&amp;CTabela G: Zestawienie przychodów wg taryfowych grup odbiorców usług, z uwzględnieniem wielkości zużycia oraz cen i stawe opłat w roku obowiązywania nowych taryf w złotych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2">
      <selection activeCell="C15" sqref="C15"/>
    </sheetView>
  </sheetViews>
  <sheetFormatPr defaultColWidth="9.00390625" defaultRowHeight="12.75"/>
  <cols>
    <col min="1" max="1" width="3.75390625" style="0" customWidth="1"/>
    <col min="2" max="2" width="21.25390625" style="0" customWidth="1"/>
    <col min="3" max="3" width="14.00390625" style="0" customWidth="1"/>
    <col min="4" max="5" width="12.25390625" style="0" customWidth="1"/>
    <col min="6" max="6" width="13.875" style="0" customWidth="1"/>
  </cols>
  <sheetData>
    <row r="1" spans="1:6" ht="25.5" customHeight="1">
      <c r="A1" s="110" t="s">
        <v>0</v>
      </c>
      <c r="B1" s="110" t="s">
        <v>1</v>
      </c>
      <c r="C1" s="110" t="s">
        <v>36</v>
      </c>
      <c r="D1" s="110"/>
      <c r="E1" s="110"/>
      <c r="F1" s="110"/>
    </row>
    <row r="2" spans="1:6" ht="63.75">
      <c r="A2" s="110"/>
      <c r="B2" s="110"/>
      <c r="C2" s="26" t="s">
        <v>125</v>
      </c>
      <c r="D2" s="26" t="s">
        <v>131</v>
      </c>
      <c r="E2" s="26"/>
      <c r="F2" s="26" t="s">
        <v>43</v>
      </c>
    </row>
    <row r="3" spans="1:6" ht="12.75">
      <c r="A3" s="26">
        <v>0</v>
      </c>
      <c r="B3" s="26">
        <v>1</v>
      </c>
      <c r="C3" s="26">
        <v>2</v>
      </c>
      <c r="D3" s="26">
        <v>3</v>
      </c>
      <c r="E3" s="26">
        <v>4</v>
      </c>
      <c r="F3" s="26">
        <v>8</v>
      </c>
    </row>
    <row r="4" spans="1:6" ht="12.75">
      <c r="A4" s="27">
        <v>1</v>
      </c>
      <c r="B4" s="28" t="s">
        <v>21</v>
      </c>
      <c r="C4" s="95"/>
      <c r="D4" s="95"/>
      <c r="E4" s="95"/>
      <c r="F4" s="95"/>
    </row>
    <row r="5" spans="1:6" ht="12.75">
      <c r="A5" s="111"/>
      <c r="B5" s="39" t="s">
        <v>111</v>
      </c>
      <c r="C5" s="8"/>
      <c r="D5" s="8"/>
      <c r="E5" s="8"/>
      <c r="F5" s="8"/>
    </row>
    <row r="6" spans="1:6" ht="38.25">
      <c r="A6" s="111"/>
      <c r="B6" s="33" t="s">
        <v>112</v>
      </c>
      <c r="C6" s="96">
        <v>400171</v>
      </c>
      <c r="D6" s="96">
        <v>165352</v>
      </c>
      <c r="E6" s="96"/>
      <c r="F6" s="96">
        <f>SUM(C6:E6)</f>
        <v>565523</v>
      </c>
    </row>
    <row r="7" spans="1:9" ht="66" customHeight="1">
      <c r="A7" s="111"/>
      <c r="B7" s="33" t="s">
        <v>113</v>
      </c>
      <c r="C7" s="96">
        <v>287928</v>
      </c>
      <c r="D7" s="96">
        <v>107072</v>
      </c>
      <c r="E7" s="96"/>
      <c r="F7" s="96">
        <f>SUM(C7:E7)</f>
        <v>395000</v>
      </c>
      <c r="H7">
        <f>133920*2.15</f>
        <v>287928</v>
      </c>
      <c r="I7">
        <f>44800*2.39</f>
        <v>107072</v>
      </c>
    </row>
    <row r="8" spans="1:6" ht="14.25">
      <c r="A8" s="111"/>
      <c r="B8" s="39" t="s">
        <v>114</v>
      </c>
      <c r="C8" s="97">
        <f>Tekst371_8/Tekst372_8</f>
        <v>1.3898300964129922</v>
      </c>
      <c r="D8" s="97">
        <f>Tekst375_8/Tekst376_8</f>
        <v>1.5443066347878063</v>
      </c>
      <c r="E8" s="97">
        <v>0</v>
      </c>
      <c r="F8" s="97">
        <f>Tekst383_8/Tekst384_8</f>
        <v>1.4317037974683544</v>
      </c>
    </row>
    <row r="9" spans="1:6" ht="51">
      <c r="A9" s="6"/>
      <c r="B9" s="39"/>
      <c r="C9" s="26" t="s">
        <v>127</v>
      </c>
      <c r="D9" s="26" t="s">
        <v>75</v>
      </c>
      <c r="E9" s="26" t="s">
        <v>128</v>
      </c>
      <c r="F9" s="26" t="s">
        <v>43</v>
      </c>
    </row>
    <row r="10" spans="1:6" ht="25.5">
      <c r="A10" s="27">
        <v>2</v>
      </c>
      <c r="B10" s="28" t="s">
        <v>30</v>
      </c>
      <c r="C10" s="95"/>
      <c r="D10" s="95"/>
      <c r="E10" s="95"/>
      <c r="F10" s="95"/>
    </row>
    <row r="11" spans="1:6" ht="12.75">
      <c r="A11" s="111"/>
      <c r="B11" s="39" t="s">
        <v>111</v>
      </c>
      <c r="C11" s="8"/>
      <c r="D11" s="8"/>
      <c r="E11" s="8"/>
      <c r="F11" s="8"/>
    </row>
    <row r="12" spans="1:6" ht="38.25">
      <c r="A12" s="111"/>
      <c r="B12" s="33" t="s">
        <v>112</v>
      </c>
      <c r="C12" s="96">
        <v>262956</v>
      </c>
      <c r="D12" s="96">
        <v>763512</v>
      </c>
      <c r="E12" s="96">
        <v>83619</v>
      </c>
      <c r="F12" s="96">
        <f>SUM(C12:E12)</f>
        <v>1110087</v>
      </c>
    </row>
    <row r="13" spans="1:10" ht="64.5" customHeight="1">
      <c r="A13" s="111"/>
      <c r="B13" s="33" t="s">
        <v>113</v>
      </c>
      <c r="C13" s="96">
        <v>196144.41</v>
      </c>
      <c r="D13" s="96">
        <v>655858.48</v>
      </c>
      <c r="E13" s="96">
        <v>71112.8</v>
      </c>
      <c r="F13" s="96">
        <f>SUM(C13:E13)</f>
        <v>923115.6900000001</v>
      </c>
      <c r="H13">
        <f>3.27*59983</f>
        <v>196144.41</v>
      </c>
      <c r="I13">
        <f>129106*5.08</f>
        <v>655858.48</v>
      </c>
      <c r="J13">
        <f>16162*4.4</f>
        <v>71112.8</v>
      </c>
    </row>
    <row r="14" spans="1:6" ht="14.25">
      <c r="A14" s="111"/>
      <c r="B14" s="39" t="s">
        <v>115</v>
      </c>
      <c r="C14" s="98">
        <f>Tekst390_8/Tekst396_8</f>
        <v>1.340624491924088</v>
      </c>
      <c r="D14" s="98">
        <f>Tekst391_8/Tekst397_8</f>
        <v>1.1641413861112233</v>
      </c>
      <c r="E14" s="98">
        <f>E12/E13</f>
        <v>1.1758642607238077</v>
      </c>
      <c r="F14" s="98">
        <f>Tekst393_8/Tekst394_8</f>
        <v>1.2025437461690203</v>
      </c>
    </row>
    <row r="16" spans="2:5" ht="12.75">
      <c r="B16" s="85"/>
      <c r="C16" s="85"/>
      <c r="E16" s="99"/>
    </row>
    <row r="17" ht="12.75">
      <c r="B17" s="85"/>
    </row>
    <row r="18" ht="12.75">
      <c r="B18" s="85"/>
    </row>
    <row r="19" ht="12.75">
      <c r="B19" s="85"/>
    </row>
    <row r="20" ht="12.75">
      <c r="B20" s="85"/>
    </row>
    <row r="21" ht="12.75">
      <c r="B21" s="85"/>
    </row>
  </sheetData>
  <sheetProtection/>
  <mergeCells count="5">
    <mergeCell ref="A11:A14"/>
    <mergeCell ref="A1:A2"/>
    <mergeCell ref="B1:B2"/>
    <mergeCell ref="C1:F1"/>
    <mergeCell ref="A5:A8"/>
  </mergeCells>
  <printOptions/>
  <pageMargins left="0.75" right="0.75" top="1" bottom="1" header="0.5" footer="0.5118055555555555"/>
  <pageSetup fitToHeight="1" fitToWidth="1" horizontalDpi="300" verticalDpi="300" orientation="portrait" paperSize="9" r:id="rId1"/>
  <headerFooter alignWithMargins="0">
    <oddHeader>&amp;CTabela H: Skutki finansowe zmiany cen i stawek opłat za zaopatrzenie w wodę i odprowadzanie ścieków.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PWiK</dc:creator>
  <cp:keywords/>
  <dc:description/>
  <cp:lastModifiedBy>adm</cp:lastModifiedBy>
  <cp:lastPrinted>2009-01-19T22:26:09Z</cp:lastPrinted>
  <dcterms:created xsi:type="dcterms:W3CDTF">2008-11-05T13:25:49Z</dcterms:created>
  <dcterms:modified xsi:type="dcterms:W3CDTF">2009-03-02T11:46:40Z</dcterms:modified>
  <cp:category/>
  <cp:version/>
  <cp:contentType/>
  <cp:contentStatus/>
</cp:coreProperties>
</file>